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Z:\F u E\7_KlimaGemeinde\1_Work Packages\9. Definizione documenti\Provincia di Bolzano\2KG_Light\Checklist\Checklist 2025\"/>
    </mc:Choice>
  </mc:AlternateContent>
  <xr:revisionPtr revIDLastSave="0" documentId="8_{AB10BA3C-9089-494F-964A-BD3B1E025A18}" xr6:coauthVersionLast="47" xr6:coauthVersionMax="47" xr10:uidLastSave="{00000000-0000-0000-0000-000000000000}"/>
  <bookViews>
    <workbookView xWindow="-120" yWindow="-120" windowWidth="29040" windowHeight="15840" activeTab="8" xr2:uid="{232D494B-7394-42E9-9F50-F5DBCF6D9BA9}"/>
  </bookViews>
  <sheets>
    <sheet name="Übersicht" sheetId="5" r:id="rId1"/>
    <sheet name="Gemeinde A++" sheetId="1" r:id="rId2"/>
    <sheet name="KlimaGemeinde Light" sheetId="2" r:id="rId3"/>
    <sheet name="Bereich A" sheetId="3" r:id="rId4"/>
    <sheet name="Bereich B " sheetId="7" r:id="rId5"/>
    <sheet name="Bereich C " sheetId="8" r:id="rId6"/>
    <sheet name="Bereich D" sheetId="9" r:id="rId7"/>
    <sheet name="Bereich E " sheetId="11" r:id="rId8"/>
    <sheet name="Bereich F " sheetId="13" r:id="rId9"/>
    <sheet name="Verbrauchserfassung" sheetId="14" r:id="rId10"/>
    <sheet name="Diagramm" sheetId="15" r:id="rId11"/>
  </sheets>
  <definedNames>
    <definedName name="_xlnm.Print_Area" localSheetId="3">'Bereich A'!$A$1:$L$25</definedName>
    <definedName name="_xlnm.Print_Area" localSheetId="4">'Bereich B '!$A$1:$L$27</definedName>
    <definedName name="_xlnm.Print_Area" localSheetId="5">'Bereich C '!$A$1:$L$29</definedName>
    <definedName name="_xlnm.Print_Area" localSheetId="6">'Bereich D'!$A$1:$L$26</definedName>
    <definedName name="_xlnm.Print_Area" localSheetId="7">'Bereich E '!$A$1:$L$29</definedName>
    <definedName name="_xlnm.Print_Area" localSheetId="8">'Bereich F '!$A$1:$L$21</definedName>
    <definedName name="_xlnm.Print_Area" localSheetId="10">Diagramm!$A$1:$L$23</definedName>
    <definedName name="_xlnm.Print_Area" localSheetId="1">'Gemeinde A++'!$A$1:$B$10</definedName>
    <definedName name="_xlnm.Print_Area" localSheetId="2">'KlimaGemeinde Light'!$A$1:$H$30</definedName>
    <definedName name="_xlnm.Print_Area" localSheetId="0">Übersicht!$A$1:$K$23</definedName>
    <definedName name="_xlnm.Print_Area" localSheetId="9">Verbrauchserfassung!$A$1:$I$43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11" l="1"/>
  <c r="L25" i="11"/>
  <c r="L24" i="11"/>
  <c r="L10" i="9"/>
  <c r="K20" i="3"/>
  <c r="L10" i="3"/>
  <c r="L12" i="3"/>
  <c r="L11" i="3"/>
  <c r="L25" i="3"/>
  <c r="L22" i="8"/>
  <c r="Q9" i="14"/>
  <c r="J29" i="11"/>
  <c r="D11" i="2"/>
  <c r="E4" i="14"/>
  <c r="L27" i="3"/>
  <c r="K27" i="3"/>
  <c r="J27" i="3"/>
  <c r="I27" i="3"/>
  <c r="H27" i="3"/>
  <c r="G27" i="3"/>
  <c r="F27" i="3"/>
  <c r="E27" i="3"/>
  <c r="B32" i="3"/>
  <c r="B31" i="3"/>
  <c r="B30" i="3"/>
  <c r="L24" i="3"/>
  <c r="K21" i="13"/>
  <c r="K20" i="13"/>
  <c r="K18" i="13"/>
  <c r="K13" i="13"/>
  <c r="K22" i="11"/>
  <c r="K21" i="11"/>
  <c r="K20" i="11"/>
  <c r="K17" i="11"/>
  <c r="K15" i="11"/>
  <c r="K22" i="9"/>
  <c r="K19" i="9"/>
  <c r="K17" i="9"/>
  <c r="K16" i="9"/>
  <c r="K13" i="9"/>
  <c r="K28" i="8"/>
  <c r="K26" i="8"/>
  <c r="K24" i="8"/>
  <c r="K23" i="8"/>
  <c r="K21" i="8"/>
  <c r="K19" i="8"/>
  <c r="K17" i="8"/>
  <c r="K15" i="8"/>
  <c r="K13" i="8"/>
  <c r="K11" i="8"/>
  <c r="K21" i="7"/>
  <c r="K18" i="7"/>
  <c r="K12" i="7"/>
  <c r="L24" i="8"/>
  <c r="K15" i="7"/>
  <c r="K18" i="3"/>
  <c r="E25" i="7"/>
  <c r="K25" i="7" s="1"/>
  <c r="E27" i="7"/>
  <c r="K27" i="7" s="1"/>
  <c r="E26" i="7"/>
  <c r="K26" i="7" s="1"/>
  <c r="E29" i="8"/>
  <c r="K29" i="8" s="1"/>
  <c r="AJ10" i="14"/>
  <c r="AK10" i="14" s="1"/>
  <c r="AJ11" i="14"/>
  <c r="AK11" i="14" s="1"/>
  <c r="AJ12" i="14"/>
  <c r="AK12" i="14" s="1"/>
  <c r="AJ13" i="14"/>
  <c r="AK13" i="14" s="1"/>
  <c r="AJ14" i="14"/>
  <c r="AK14" i="14" s="1"/>
  <c r="AJ15" i="14"/>
  <c r="AK15" i="14" s="1"/>
  <c r="AJ16" i="14"/>
  <c r="AK16" i="14" s="1"/>
  <c r="AJ17" i="14"/>
  <c r="AK17" i="14" s="1"/>
  <c r="AJ18" i="14"/>
  <c r="AK18" i="14" s="1"/>
  <c r="AJ19" i="14"/>
  <c r="AK19" i="14" s="1"/>
  <c r="AJ20" i="14"/>
  <c r="AK20" i="14" s="1"/>
  <c r="AJ21" i="14"/>
  <c r="AK21" i="14" s="1"/>
  <c r="AJ22" i="14"/>
  <c r="AK22" i="14" s="1"/>
  <c r="AJ23" i="14"/>
  <c r="AK23" i="14" s="1"/>
  <c r="AJ24" i="14"/>
  <c r="AK24" i="14" s="1"/>
  <c r="AJ25" i="14"/>
  <c r="AK25" i="14" s="1"/>
  <c r="AJ26" i="14"/>
  <c r="AK26" i="14" s="1"/>
  <c r="AJ27" i="14"/>
  <c r="AK27" i="14" s="1"/>
  <c r="AJ28" i="14"/>
  <c r="AK28" i="14" s="1"/>
  <c r="AJ29" i="14"/>
  <c r="AK29" i="14" s="1"/>
  <c r="AJ30" i="14"/>
  <c r="AK30" i="14" s="1"/>
  <c r="AJ31" i="14"/>
  <c r="AK31" i="14" s="1"/>
  <c r="AJ32" i="14"/>
  <c r="AK32" i="14" s="1"/>
  <c r="AJ33" i="14"/>
  <c r="AK33" i="14" s="1"/>
  <c r="AJ34" i="14"/>
  <c r="AK34" i="14" s="1"/>
  <c r="AJ35" i="14"/>
  <c r="AK35" i="14" s="1"/>
  <c r="AJ36" i="14"/>
  <c r="AK36" i="14" s="1"/>
  <c r="AJ37" i="14"/>
  <c r="AK37" i="14" s="1"/>
  <c r="AJ38" i="14"/>
  <c r="AK38" i="14" s="1"/>
  <c r="AJ39" i="14"/>
  <c r="AK39" i="14" s="1"/>
  <c r="AJ40" i="14"/>
  <c r="AK40" i="14" s="1"/>
  <c r="AJ41" i="14"/>
  <c r="AK41" i="14" s="1"/>
  <c r="AJ42" i="14"/>
  <c r="AK42" i="14" s="1"/>
  <c r="AJ43" i="14"/>
  <c r="AK43" i="14" s="1"/>
  <c r="AJ44" i="14"/>
  <c r="AJ45" i="14"/>
  <c r="AK45" i="14" s="1"/>
  <c r="AJ46" i="14"/>
  <c r="AK46" i="14" s="1"/>
  <c r="AJ47" i="14"/>
  <c r="AK47" i="14" s="1"/>
  <c r="AJ48" i="14"/>
  <c r="AK48" i="14" s="1"/>
  <c r="AJ49" i="14"/>
  <c r="AJ50" i="14"/>
  <c r="AK50" i="14" s="1"/>
  <c r="AJ51" i="14"/>
  <c r="AK51" i="14" s="1"/>
  <c r="AJ52" i="14"/>
  <c r="AK52" i="14" s="1"/>
  <c r="AJ53" i="14"/>
  <c r="AK53" i="14" s="1"/>
  <c r="AJ54" i="14"/>
  <c r="AK54" i="14" s="1"/>
  <c r="AJ55" i="14"/>
  <c r="AK55" i="14" s="1"/>
  <c r="AJ56" i="14"/>
  <c r="AK56" i="14" s="1"/>
  <c r="AJ57" i="14"/>
  <c r="AK57" i="14" s="1"/>
  <c r="AJ58" i="14"/>
  <c r="AK58" i="14" s="1"/>
  <c r="AJ59" i="14"/>
  <c r="AJ60" i="14"/>
  <c r="AK60" i="14" s="1"/>
  <c r="AJ61" i="14"/>
  <c r="AK61" i="14" s="1"/>
  <c r="AJ62" i="14"/>
  <c r="AK62" i="14" s="1"/>
  <c r="AJ63" i="14"/>
  <c r="AK63" i="14" s="1"/>
  <c r="AJ64" i="14"/>
  <c r="AK64" i="14" s="1"/>
  <c r="AJ65" i="14"/>
  <c r="AK65" i="14" s="1"/>
  <c r="AJ66" i="14"/>
  <c r="AK66" i="14" s="1"/>
  <c r="AJ67" i="14"/>
  <c r="AK67" i="14" s="1"/>
  <c r="AJ68" i="14"/>
  <c r="AK68" i="14" s="1"/>
  <c r="AJ69" i="14"/>
  <c r="AK69" i="14" s="1"/>
  <c r="AJ70" i="14"/>
  <c r="AK70" i="14" s="1"/>
  <c r="AJ71" i="14"/>
  <c r="AK71" i="14" s="1"/>
  <c r="AJ72" i="14"/>
  <c r="AK72" i="14" s="1"/>
  <c r="AJ73" i="14"/>
  <c r="AK73" i="14" s="1"/>
  <c r="AJ74" i="14"/>
  <c r="AK74" i="14" s="1"/>
  <c r="AJ75" i="14"/>
  <c r="AK75" i="14" s="1"/>
  <c r="AJ76" i="14"/>
  <c r="AK76" i="14" s="1"/>
  <c r="AJ77" i="14"/>
  <c r="AK77" i="14" s="1"/>
  <c r="AJ78" i="14"/>
  <c r="AK78" i="14" s="1"/>
  <c r="AJ79" i="14"/>
  <c r="AK79" i="14" s="1"/>
  <c r="AJ80" i="14"/>
  <c r="AK80" i="14" s="1"/>
  <c r="AJ81" i="14"/>
  <c r="AK81" i="14" s="1"/>
  <c r="AJ82" i="14"/>
  <c r="AK82" i="14" s="1"/>
  <c r="AJ83" i="14"/>
  <c r="AK83" i="14" s="1"/>
  <c r="AJ84" i="14"/>
  <c r="AK84" i="14" s="1"/>
  <c r="AJ85" i="14"/>
  <c r="AK85" i="14" s="1"/>
  <c r="AJ86" i="14"/>
  <c r="AK86" i="14" s="1"/>
  <c r="AJ87" i="14"/>
  <c r="AK87" i="14" s="1"/>
  <c r="AJ88" i="14"/>
  <c r="AK88" i="14" s="1"/>
  <c r="AJ89" i="14"/>
  <c r="AK89" i="14" s="1"/>
  <c r="AJ90" i="14"/>
  <c r="AK90" i="14" s="1"/>
  <c r="AJ91" i="14"/>
  <c r="AK91" i="14" s="1"/>
  <c r="AJ92" i="14"/>
  <c r="AK92" i="14" s="1"/>
  <c r="AJ93" i="14"/>
  <c r="AK93" i="14" s="1"/>
  <c r="AJ94" i="14"/>
  <c r="AK94" i="14" s="1"/>
  <c r="AJ95" i="14"/>
  <c r="AK95" i="14" s="1"/>
  <c r="AJ96" i="14"/>
  <c r="AK96" i="14" s="1"/>
  <c r="AJ97" i="14"/>
  <c r="AK97" i="14" s="1"/>
  <c r="AJ98" i="14"/>
  <c r="AK98" i="14" s="1"/>
  <c r="AJ99" i="14"/>
  <c r="AK99" i="14" s="1"/>
  <c r="AJ100" i="14"/>
  <c r="AK100" i="14" s="1"/>
  <c r="AJ101" i="14"/>
  <c r="AK101" i="14" s="1"/>
  <c r="AJ102" i="14"/>
  <c r="AK102" i="14" s="1"/>
  <c r="AJ103" i="14"/>
  <c r="AK103" i="14" s="1"/>
  <c r="AJ104" i="14"/>
  <c r="AK104" i="14" s="1"/>
  <c r="AJ105" i="14"/>
  <c r="AK105" i="14" s="1"/>
  <c r="AJ106" i="14"/>
  <c r="AK106" i="14" s="1"/>
  <c r="AJ107" i="14"/>
  <c r="AK107" i="14" s="1"/>
  <c r="AJ108" i="14"/>
  <c r="AK108" i="14" s="1"/>
  <c r="AJ109" i="14"/>
  <c r="AJ9" i="14"/>
  <c r="Z10" i="14"/>
  <c r="AA10" i="14" s="1"/>
  <c r="Z11" i="14"/>
  <c r="AA11" i="14" s="1"/>
  <c r="Z12" i="14"/>
  <c r="AA12" i="14" s="1"/>
  <c r="Z13" i="14"/>
  <c r="AA13" i="14" s="1"/>
  <c r="Z14" i="14"/>
  <c r="AA14" i="14" s="1"/>
  <c r="Z15" i="14"/>
  <c r="AA15" i="14" s="1"/>
  <c r="Z16" i="14"/>
  <c r="AA16" i="14" s="1"/>
  <c r="Z17" i="14"/>
  <c r="AA17" i="14" s="1"/>
  <c r="Z18" i="14"/>
  <c r="AA18" i="14" s="1"/>
  <c r="Z19" i="14"/>
  <c r="Z20" i="14"/>
  <c r="AA20" i="14" s="1"/>
  <c r="Z21" i="14"/>
  <c r="AA21" i="14" s="1"/>
  <c r="Z22" i="14"/>
  <c r="AA22" i="14" s="1"/>
  <c r="Z23" i="14"/>
  <c r="AA23" i="14" s="1"/>
  <c r="Z24" i="14"/>
  <c r="AA24" i="14" s="1"/>
  <c r="Z25" i="14"/>
  <c r="AA25" i="14" s="1"/>
  <c r="Z26" i="14"/>
  <c r="AA26" i="14" s="1"/>
  <c r="Z27" i="14"/>
  <c r="AA27" i="14" s="1"/>
  <c r="Z28" i="14"/>
  <c r="AA28" i="14" s="1"/>
  <c r="Z29" i="14"/>
  <c r="AA29" i="14" s="1"/>
  <c r="Z30" i="14"/>
  <c r="AA30" i="14" s="1"/>
  <c r="Z31" i="14"/>
  <c r="Z32" i="14"/>
  <c r="AA32" i="14" s="1"/>
  <c r="Z33" i="14"/>
  <c r="AA33" i="14" s="1"/>
  <c r="Z34" i="14"/>
  <c r="AA34" i="14" s="1"/>
  <c r="Z35" i="14"/>
  <c r="AA35" i="14" s="1"/>
  <c r="Z36" i="14"/>
  <c r="AA36" i="14" s="1"/>
  <c r="Z37" i="14"/>
  <c r="AA37" i="14" s="1"/>
  <c r="Z38" i="14"/>
  <c r="AA38" i="14" s="1"/>
  <c r="Z39" i="14"/>
  <c r="AA39" i="14" s="1"/>
  <c r="Z40" i="14"/>
  <c r="AA40" i="14" s="1"/>
  <c r="Z41" i="14"/>
  <c r="AA41" i="14" s="1"/>
  <c r="Z42" i="14"/>
  <c r="AA42" i="14" s="1"/>
  <c r="Z43" i="14"/>
  <c r="AA43" i="14" s="1"/>
  <c r="Z44" i="14"/>
  <c r="AA44" i="14" s="1"/>
  <c r="Z45" i="14"/>
  <c r="AA45" i="14" s="1"/>
  <c r="Z46" i="14"/>
  <c r="AA46" i="14" s="1"/>
  <c r="Z47" i="14"/>
  <c r="AA47" i="14" s="1"/>
  <c r="Z48" i="14"/>
  <c r="AA48" i="14" s="1"/>
  <c r="Z49" i="14"/>
  <c r="AA49" i="14" s="1"/>
  <c r="Z50" i="14"/>
  <c r="AA50" i="14" s="1"/>
  <c r="Z51" i="14"/>
  <c r="AA51" i="14" s="1"/>
  <c r="Z52" i="14"/>
  <c r="AA52" i="14" s="1"/>
  <c r="Z53" i="14"/>
  <c r="AA53" i="14" s="1"/>
  <c r="Z54" i="14"/>
  <c r="AA54" i="14" s="1"/>
  <c r="Z55" i="14"/>
  <c r="AA55" i="14" s="1"/>
  <c r="Z56" i="14"/>
  <c r="AA56" i="14" s="1"/>
  <c r="Z57" i="14"/>
  <c r="AA57" i="14" s="1"/>
  <c r="Z58" i="14"/>
  <c r="AA58" i="14" s="1"/>
  <c r="Z59" i="14"/>
  <c r="Z60" i="14"/>
  <c r="AA60" i="14" s="1"/>
  <c r="Z61" i="14"/>
  <c r="AA61" i="14" s="1"/>
  <c r="Z62" i="14"/>
  <c r="AA62" i="14" s="1"/>
  <c r="Z63" i="14"/>
  <c r="AA63" i="14" s="1"/>
  <c r="Z64" i="14"/>
  <c r="AA64" i="14" s="1"/>
  <c r="Z65" i="14"/>
  <c r="AA65" i="14" s="1"/>
  <c r="Z66" i="14"/>
  <c r="AA66" i="14" s="1"/>
  <c r="Z67" i="14"/>
  <c r="AA67" i="14" s="1"/>
  <c r="Z68" i="14"/>
  <c r="AA68" i="14" s="1"/>
  <c r="Z69" i="14"/>
  <c r="Z70" i="14"/>
  <c r="AA70" i="14" s="1"/>
  <c r="Z71" i="14"/>
  <c r="AA71" i="14" s="1"/>
  <c r="Z72" i="14"/>
  <c r="AA72" i="14" s="1"/>
  <c r="Z73" i="14"/>
  <c r="AA73" i="14" s="1"/>
  <c r="Z74" i="14"/>
  <c r="AA74" i="14" s="1"/>
  <c r="Z75" i="14"/>
  <c r="AA75" i="14" s="1"/>
  <c r="Z76" i="14"/>
  <c r="AA76" i="14" s="1"/>
  <c r="Z77" i="14"/>
  <c r="AA77" i="14" s="1"/>
  <c r="Z78" i="14"/>
  <c r="AA78" i="14" s="1"/>
  <c r="Z79" i="14"/>
  <c r="AA79" i="14" s="1"/>
  <c r="Z80" i="14"/>
  <c r="AA80" i="14" s="1"/>
  <c r="Z81" i="14"/>
  <c r="AA81" i="14" s="1"/>
  <c r="Z82" i="14"/>
  <c r="AA82" i="14" s="1"/>
  <c r="Z83" i="14"/>
  <c r="AA83" i="14" s="1"/>
  <c r="Z84" i="14"/>
  <c r="AA84" i="14" s="1"/>
  <c r="Z85" i="14"/>
  <c r="AA85" i="14" s="1"/>
  <c r="Z86" i="14"/>
  <c r="AA86" i="14" s="1"/>
  <c r="Z87" i="14"/>
  <c r="AA87" i="14" s="1"/>
  <c r="Z88" i="14"/>
  <c r="AA88" i="14" s="1"/>
  <c r="Z89" i="14"/>
  <c r="AA89" i="14" s="1"/>
  <c r="Z90" i="14"/>
  <c r="AA90" i="14" s="1"/>
  <c r="Z91" i="14"/>
  <c r="AA91" i="14" s="1"/>
  <c r="Z92" i="14"/>
  <c r="AA92" i="14" s="1"/>
  <c r="Z93" i="14"/>
  <c r="AA93" i="14" s="1"/>
  <c r="Z94" i="14"/>
  <c r="AA94" i="14" s="1"/>
  <c r="Z95" i="14"/>
  <c r="AA95" i="14" s="1"/>
  <c r="Z96" i="14"/>
  <c r="AA96" i="14" s="1"/>
  <c r="Z97" i="14"/>
  <c r="AA97" i="14" s="1"/>
  <c r="Z98" i="14"/>
  <c r="AA98" i="14" s="1"/>
  <c r="Z99" i="14"/>
  <c r="AA99" i="14" s="1"/>
  <c r="Z100" i="14"/>
  <c r="AA100" i="14" s="1"/>
  <c r="Z101" i="14"/>
  <c r="AA101" i="14" s="1"/>
  <c r="Z102" i="14"/>
  <c r="AA102" i="14" s="1"/>
  <c r="Z103" i="14"/>
  <c r="AA103" i="14" s="1"/>
  <c r="Z104" i="14"/>
  <c r="AA104" i="14" s="1"/>
  <c r="Z105" i="14"/>
  <c r="AA105" i="14" s="1"/>
  <c r="Z106" i="14"/>
  <c r="AA106" i="14" s="1"/>
  <c r="Z107" i="14"/>
  <c r="AA107" i="14" s="1"/>
  <c r="Z108" i="14"/>
  <c r="AA108" i="14" s="1"/>
  <c r="Z109" i="14"/>
  <c r="Z9" i="14"/>
  <c r="AE10" i="14"/>
  <c r="AF10" i="14" s="1"/>
  <c r="AE11" i="14"/>
  <c r="AF11" i="14" s="1"/>
  <c r="AE12" i="14"/>
  <c r="AF12" i="14" s="1"/>
  <c r="AE13" i="14"/>
  <c r="AF13" i="14" s="1"/>
  <c r="AE14" i="14"/>
  <c r="AF14" i="14" s="1"/>
  <c r="AE15" i="14"/>
  <c r="AF15" i="14" s="1"/>
  <c r="AE16" i="14"/>
  <c r="AF16" i="14" s="1"/>
  <c r="AE17" i="14"/>
  <c r="AF17" i="14" s="1"/>
  <c r="AE18" i="14"/>
  <c r="AF18" i="14" s="1"/>
  <c r="AE19" i="14"/>
  <c r="AF19" i="14" s="1"/>
  <c r="AE20" i="14"/>
  <c r="AF20" i="14" s="1"/>
  <c r="AE21" i="14"/>
  <c r="AF21" i="14" s="1"/>
  <c r="AE22" i="14"/>
  <c r="AF22" i="14" s="1"/>
  <c r="AE23" i="14"/>
  <c r="AF23" i="14" s="1"/>
  <c r="AE24" i="14"/>
  <c r="AF24" i="14" s="1"/>
  <c r="AE25" i="14"/>
  <c r="AF25" i="14" s="1"/>
  <c r="AE26" i="14"/>
  <c r="AF26" i="14" s="1"/>
  <c r="AE27" i="14"/>
  <c r="AF27" i="14" s="1"/>
  <c r="AE28" i="14"/>
  <c r="AF28" i="14" s="1"/>
  <c r="AE29" i="14"/>
  <c r="AF29" i="14" s="1"/>
  <c r="AE30" i="14"/>
  <c r="AF30" i="14" s="1"/>
  <c r="AE31" i="14"/>
  <c r="AF31" i="14" s="1"/>
  <c r="AE32" i="14"/>
  <c r="AF32" i="14" s="1"/>
  <c r="AE33" i="14"/>
  <c r="AF33" i="14" s="1"/>
  <c r="AE34" i="14"/>
  <c r="AF34" i="14" s="1"/>
  <c r="AE35" i="14"/>
  <c r="AF35" i="14" s="1"/>
  <c r="AE36" i="14"/>
  <c r="AF36" i="14" s="1"/>
  <c r="AE37" i="14"/>
  <c r="AF37" i="14" s="1"/>
  <c r="AE38" i="14"/>
  <c r="AF38" i="14" s="1"/>
  <c r="AE39" i="14"/>
  <c r="AF39" i="14" s="1"/>
  <c r="AE40" i="14"/>
  <c r="AF40" i="14" s="1"/>
  <c r="AE41" i="14"/>
  <c r="AF41" i="14" s="1"/>
  <c r="AE42" i="14"/>
  <c r="AF42" i="14" s="1"/>
  <c r="AE43" i="14"/>
  <c r="AF43" i="14" s="1"/>
  <c r="AE44" i="14"/>
  <c r="AF44" i="14" s="1"/>
  <c r="AE45" i="14"/>
  <c r="AF45" i="14" s="1"/>
  <c r="AE46" i="14"/>
  <c r="AF46" i="14" s="1"/>
  <c r="AE47" i="14"/>
  <c r="AF47" i="14" s="1"/>
  <c r="AE48" i="14"/>
  <c r="AF48" i="14" s="1"/>
  <c r="AE49" i="14"/>
  <c r="AF49" i="14" s="1"/>
  <c r="AE50" i="14"/>
  <c r="AF50" i="14" s="1"/>
  <c r="AE51" i="14"/>
  <c r="AF51" i="14" s="1"/>
  <c r="AE52" i="14"/>
  <c r="AF52" i="14" s="1"/>
  <c r="AE53" i="14"/>
  <c r="AF53" i="14" s="1"/>
  <c r="AE54" i="14"/>
  <c r="AF54" i="14" s="1"/>
  <c r="AE55" i="14"/>
  <c r="AF55" i="14" s="1"/>
  <c r="AE56" i="14"/>
  <c r="AF56" i="14" s="1"/>
  <c r="AE57" i="14"/>
  <c r="AF57" i="14" s="1"/>
  <c r="AE58" i="14"/>
  <c r="AF58" i="14" s="1"/>
  <c r="AE59" i="14"/>
  <c r="AE60" i="14"/>
  <c r="AF60" i="14" s="1"/>
  <c r="AE61" i="14"/>
  <c r="AF61" i="14" s="1"/>
  <c r="AE62" i="14"/>
  <c r="AF62" i="14" s="1"/>
  <c r="AE63" i="14"/>
  <c r="AF63" i="14" s="1"/>
  <c r="AE64" i="14"/>
  <c r="AF64" i="14" s="1"/>
  <c r="AE65" i="14"/>
  <c r="AF65" i="14" s="1"/>
  <c r="AE66" i="14"/>
  <c r="AF66" i="14" s="1"/>
  <c r="AE67" i="14"/>
  <c r="AF67" i="14" s="1"/>
  <c r="AE68" i="14"/>
  <c r="AF68" i="14" s="1"/>
  <c r="AE69" i="14"/>
  <c r="AF69" i="14" s="1"/>
  <c r="AE70" i="14"/>
  <c r="AF70" i="14" s="1"/>
  <c r="AE71" i="14"/>
  <c r="AF71" i="14" s="1"/>
  <c r="AE72" i="14"/>
  <c r="AF72" i="14" s="1"/>
  <c r="AE73" i="14"/>
  <c r="AF73" i="14" s="1"/>
  <c r="AE74" i="14"/>
  <c r="AF74" i="14" s="1"/>
  <c r="AE75" i="14"/>
  <c r="AF75" i="14" s="1"/>
  <c r="AE76" i="14"/>
  <c r="AF76" i="14" s="1"/>
  <c r="AE77" i="14"/>
  <c r="AF77" i="14" s="1"/>
  <c r="AE78" i="14"/>
  <c r="AF78" i="14" s="1"/>
  <c r="AE79" i="14"/>
  <c r="AF79" i="14" s="1"/>
  <c r="AE80" i="14"/>
  <c r="AF80" i="14" s="1"/>
  <c r="AE81" i="14"/>
  <c r="AF81" i="14" s="1"/>
  <c r="AE82" i="14"/>
  <c r="AF82" i="14" s="1"/>
  <c r="AE83" i="14"/>
  <c r="AF83" i="14" s="1"/>
  <c r="AE84" i="14"/>
  <c r="AF84" i="14" s="1"/>
  <c r="AE85" i="14"/>
  <c r="AF85" i="14" s="1"/>
  <c r="AE86" i="14"/>
  <c r="AF86" i="14" s="1"/>
  <c r="AE87" i="14"/>
  <c r="AF87" i="14" s="1"/>
  <c r="AE88" i="14"/>
  <c r="AF88" i="14" s="1"/>
  <c r="AE89" i="14"/>
  <c r="AF89" i="14" s="1"/>
  <c r="AE90" i="14"/>
  <c r="AF90" i="14" s="1"/>
  <c r="AE91" i="14"/>
  <c r="AF91" i="14" s="1"/>
  <c r="AE92" i="14"/>
  <c r="AF92" i="14" s="1"/>
  <c r="AE93" i="14"/>
  <c r="AF93" i="14" s="1"/>
  <c r="AE94" i="14"/>
  <c r="AF94" i="14" s="1"/>
  <c r="AE95" i="14"/>
  <c r="AF95" i="14" s="1"/>
  <c r="AE96" i="14"/>
  <c r="AF96" i="14" s="1"/>
  <c r="AE97" i="14"/>
  <c r="AF97" i="14" s="1"/>
  <c r="AE98" i="14"/>
  <c r="AF98" i="14" s="1"/>
  <c r="AE99" i="14"/>
  <c r="AF99" i="14" s="1"/>
  <c r="AE100" i="14"/>
  <c r="AF100" i="14" s="1"/>
  <c r="AE101" i="14"/>
  <c r="AF101" i="14" s="1"/>
  <c r="AE102" i="14"/>
  <c r="AF102" i="14" s="1"/>
  <c r="AE103" i="14"/>
  <c r="AF103" i="14" s="1"/>
  <c r="AE104" i="14"/>
  <c r="AF104" i="14" s="1"/>
  <c r="AE105" i="14"/>
  <c r="AF105" i="14" s="1"/>
  <c r="AE106" i="14"/>
  <c r="AF106" i="14" s="1"/>
  <c r="AE107" i="14"/>
  <c r="AF107" i="14" s="1"/>
  <c r="AE108" i="14"/>
  <c r="AF108" i="14" s="1"/>
  <c r="AE109" i="14"/>
  <c r="AE9" i="14"/>
  <c r="Q10" i="14"/>
  <c r="Q11" i="14"/>
  <c r="Q12" i="14"/>
  <c r="R12" i="14" s="1"/>
  <c r="Q13" i="14"/>
  <c r="R13" i="14" s="1"/>
  <c r="Q14" i="14"/>
  <c r="R14" i="14" s="1"/>
  <c r="Q15" i="14"/>
  <c r="R15" i="14" s="1"/>
  <c r="Q16" i="14"/>
  <c r="R16" i="14" s="1"/>
  <c r="Q17" i="14"/>
  <c r="Q18" i="14"/>
  <c r="Q19" i="14"/>
  <c r="R19" i="14" s="1"/>
  <c r="Q20" i="14"/>
  <c r="R20" i="14" s="1"/>
  <c r="Q21" i="14"/>
  <c r="R21" i="14" s="1"/>
  <c r="Q22" i="14"/>
  <c r="R22" i="14" s="1"/>
  <c r="Q23" i="14"/>
  <c r="R23" i="14" s="1"/>
  <c r="Q24" i="14"/>
  <c r="R24" i="14" s="1"/>
  <c r="Q25" i="14"/>
  <c r="Q26" i="14"/>
  <c r="Q27" i="14"/>
  <c r="R27" i="14" s="1"/>
  <c r="Q28" i="14"/>
  <c r="R28" i="14" s="1"/>
  <c r="Q29" i="14"/>
  <c r="Q30" i="14"/>
  <c r="R30" i="14" s="1"/>
  <c r="Q31" i="14"/>
  <c r="R31" i="14" s="1"/>
  <c r="Q32" i="14"/>
  <c r="R32" i="14" s="1"/>
  <c r="Q33" i="14"/>
  <c r="Q34" i="14"/>
  <c r="Q35" i="14"/>
  <c r="R35" i="14" s="1"/>
  <c r="Q36" i="14"/>
  <c r="R36" i="14" s="1"/>
  <c r="Q37" i="14"/>
  <c r="R37" i="14" s="1"/>
  <c r="Q38" i="14"/>
  <c r="R38" i="14" s="1"/>
  <c r="Q39" i="14"/>
  <c r="R39" i="14" s="1"/>
  <c r="Q40" i="14"/>
  <c r="R40" i="14" s="1"/>
  <c r="Q41" i="14"/>
  <c r="Q42" i="14"/>
  <c r="Q43" i="14"/>
  <c r="R43" i="14" s="1"/>
  <c r="Q44" i="14"/>
  <c r="R44" i="14" s="1"/>
  <c r="Q45" i="14"/>
  <c r="R45" i="14" s="1"/>
  <c r="Q46" i="14"/>
  <c r="R46" i="14" s="1"/>
  <c r="Q47" i="14"/>
  <c r="R47" i="14" s="1"/>
  <c r="Q48" i="14"/>
  <c r="R48" i="14" s="1"/>
  <c r="Q49" i="14"/>
  <c r="Q50" i="14"/>
  <c r="Q51" i="14"/>
  <c r="R51" i="14" s="1"/>
  <c r="Q52" i="14"/>
  <c r="R52" i="14" s="1"/>
  <c r="Q53" i="14"/>
  <c r="R53" i="14" s="1"/>
  <c r="Q54" i="14"/>
  <c r="R54" i="14" s="1"/>
  <c r="Q55" i="14"/>
  <c r="R55" i="14" s="1"/>
  <c r="Q56" i="14"/>
  <c r="R56" i="14" s="1"/>
  <c r="Q57" i="14"/>
  <c r="Q58" i="14"/>
  <c r="Q59" i="14"/>
  <c r="R59" i="14" s="1"/>
  <c r="Q60" i="14"/>
  <c r="R60" i="14" s="1"/>
  <c r="Q61" i="14"/>
  <c r="R61" i="14" s="1"/>
  <c r="Q62" i="14"/>
  <c r="R62" i="14" s="1"/>
  <c r="Q63" i="14"/>
  <c r="R63" i="14" s="1"/>
  <c r="Q64" i="14"/>
  <c r="R64" i="14" s="1"/>
  <c r="Q65" i="14"/>
  <c r="Q66" i="14"/>
  <c r="Q67" i="14"/>
  <c r="R67" i="14" s="1"/>
  <c r="Q68" i="14"/>
  <c r="R68" i="14" s="1"/>
  <c r="Q69" i="14"/>
  <c r="R69" i="14" s="1"/>
  <c r="Q70" i="14"/>
  <c r="R70" i="14" s="1"/>
  <c r="Q71" i="14"/>
  <c r="R71" i="14" s="1"/>
  <c r="Q72" i="14"/>
  <c r="R72" i="14" s="1"/>
  <c r="Q73" i="14"/>
  <c r="Q74" i="14"/>
  <c r="Q75" i="14"/>
  <c r="R75" i="14" s="1"/>
  <c r="Q76" i="14"/>
  <c r="R76" i="14" s="1"/>
  <c r="Q77" i="14"/>
  <c r="R77" i="14" s="1"/>
  <c r="Q78" i="14"/>
  <c r="R78" i="14" s="1"/>
  <c r="Q79" i="14"/>
  <c r="R79" i="14" s="1"/>
  <c r="Q80" i="14"/>
  <c r="R80" i="14" s="1"/>
  <c r="Q81" i="14"/>
  <c r="Q82" i="14"/>
  <c r="Q83" i="14"/>
  <c r="R83" i="14" s="1"/>
  <c r="Q84" i="14"/>
  <c r="R84" i="14" s="1"/>
  <c r="Q85" i="14"/>
  <c r="R85" i="14" s="1"/>
  <c r="Q86" i="14"/>
  <c r="R86" i="14" s="1"/>
  <c r="Q87" i="14"/>
  <c r="R87" i="14" s="1"/>
  <c r="Q88" i="14"/>
  <c r="R88" i="14" s="1"/>
  <c r="Q89" i="14"/>
  <c r="Q90" i="14"/>
  <c r="Q91" i="14"/>
  <c r="R91" i="14" s="1"/>
  <c r="Q92" i="14"/>
  <c r="R92" i="14" s="1"/>
  <c r="Q93" i="14"/>
  <c r="R93" i="14" s="1"/>
  <c r="Q94" i="14"/>
  <c r="R94" i="14" s="1"/>
  <c r="Q95" i="14"/>
  <c r="R95" i="14" s="1"/>
  <c r="Q96" i="14"/>
  <c r="R96" i="14" s="1"/>
  <c r="Q97" i="14"/>
  <c r="Q98" i="14"/>
  <c r="Q99" i="14"/>
  <c r="R99" i="14" s="1"/>
  <c r="Q100" i="14"/>
  <c r="R100" i="14" s="1"/>
  <c r="Q101" i="14"/>
  <c r="R101" i="14" s="1"/>
  <c r="Q102" i="14"/>
  <c r="R102" i="14" s="1"/>
  <c r="Q103" i="14"/>
  <c r="R103" i="14" s="1"/>
  <c r="Q104" i="14"/>
  <c r="Q105" i="14"/>
  <c r="Q106" i="14"/>
  <c r="Q107" i="14"/>
  <c r="R107" i="14" s="1"/>
  <c r="Q108" i="14"/>
  <c r="R108" i="14" s="1"/>
  <c r="Q109" i="14"/>
  <c r="I38" i="8"/>
  <c r="I36" i="8"/>
  <c r="I37" i="8"/>
  <c r="I40" i="8"/>
  <c r="F33" i="8"/>
  <c r="G33" i="8"/>
  <c r="H33" i="8"/>
  <c r="I33" i="8"/>
  <c r="F34" i="8"/>
  <c r="G34" i="8"/>
  <c r="H34" i="8"/>
  <c r="I34" i="8"/>
  <c r="F35" i="8"/>
  <c r="G35" i="8"/>
  <c r="H35" i="8"/>
  <c r="I35" i="8"/>
  <c r="F36" i="8"/>
  <c r="G36" i="8"/>
  <c r="H36" i="8"/>
  <c r="F37" i="8"/>
  <c r="G37" i="8"/>
  <c r="H37" i="8"/>
  <c r="F38" i="8"/>
  <c r="G38" i="8"/>
  <c r="H38" i="8"/>
  <c r="F39" i="8"/>
  <c r="G39" i="8"/>
  <c r="H39" i="8"/>
  <c r="I39" i="8"/>
  <c r="F40" i="8"/>
  <c r="G40" i="8"/>
  <c r="H40" i="8"/>
  <c r="E40" i="8"/>
  <c r="E39" i="8"/>
  <c r="E38" i="8"/>
  <c r="E37" i="8"/>
  <c r="E36" i="8"/>
  <c r="E35" i="8"/>
  <c r="E34" i="8"/>
  <c r="E33" i="8"/>
  <c r="F37" i="11"/>
  <c r="G37" i="11"/>
  <c r="H37" i="11"/>
  <c r="I37" i="11"/>
  <c r="E37" i="11"/>
  <c r="E36" i="11"/>
  <c r="E35" i="11"/>
  <c r="E34" i="11"/>
  <c r="F34" i="11"/>
  <c r="G34" i="11"/>
  <c r="H34" i="11"/>
  <c r="I34" i="11"/>
  <c r="F35" i="11"/>
  <c r="G35" i="11"/>
  <c r="H35" i="11"/>
  <c r="I35" i="11"/>
  <c r="F36" i="11"/>
  <c r="G36" i="11"/>
  <c r="H36" i="11"/>
  <c r="I36" i="11"/>
  <c r="F38" i="11"/>
  <c r="G38" i="11"/>
  <c r="H38" i="11"/>
  <c r="I38" i="11"/>
  <c r="E38" i="11"/>
  <c r="I36" i="9"/>
  <c r="I35" i="9"/>
  <c r="I34" i="9"/>
  <c r="I33" i="9"/>
  <c r="I32" i="9"/>
  <c r="E32" i="9"/>
  <c r="F32" i="9"/>
  <c r="G32" i="9"/>
  <c r="H32" i="9"/>
  <c r="F36" i="9"/>
  <c r="G36" i="9"/>
  <c r="H36" i="9"/>
  <c r="E36" i="9"/>
  <c r="F35" i="9"/>
  <c r="G35" i="9"/>
  <c r="H35" i="9"/>
  <c r="E35" i="9"/>
  <c r="F34" i="9"/>
  <c r="G34" i="9"/>
  <c r="H34" i="9"/>
  <c r="E34" i="9"/>
  <c r="F33" i="9"/>
  <c r="G33" i="9"/>
  <c r="H33" i="9"/>
  <c r="E33" i="9"/>
  <c r="J11" i="7"/>
  <c r="K18" i="11"/>
  <c r="L24" i="9"/>
  <c r="L25" i="9"/>
  <c r="K23" i="9"/>
  <c r="E35" i="7"/>
  <c r="E34" i="7"/>
  <c r="E33" i="7"/>
  <c r="E32" i="7"/>
  <c r="E33" i="3"/>
  <c r="E32" i="3"/>
  <c r="E31" i="3"/>
  <c r="E30" i="3"/>
  <c r="K27" i="8"/>
  <c r="K13" i="7"/>
  <c r="K11" i="7"/>
  <c r="F32" i="7"/>
  <c r="G32" i="7"/>
  <c r="H32" i="7"/>
  <c r="I32" i="7"/>
  <c r="L11" i="7"/>
  <c r="I4" i="15"/>
  <c r="H4" i="13"/>
  <c r="H4" i="11"/>
  <c r="H4" i="9"/>
  <c r="H4" i="8"/>
  <c r="H4" i="7"/>
  <c r="H4" i="3"/>
  <c r="D4" i="2"/>
  <c r="F4" i="5"/>
  <c r="E28" i="13"/>
  <c r="E27" i="13"/>
  <c r="E26" i="13"/>
  <c r="F26" i="13"/>
  <c r="G26" i="13"/>
  <c r="H26" i="13"/>
  <c r="I26" i="13"/>
  <c r="F27" i="13"/>
  <c r="G27" i="13"/>
  <c r="H27" i="13"/>
  <c r="I27" i="13"/>
  <c r="F28" i="13"/>
  <c r="G28" i="13"/>
  <c r="H28" i="13"/>
  <c r="I28" i="13"/>
  <c r="L14" i="13"/>
  <c r="L15" i="13"/>
  <c r="L16" i="13"/>
  <c r="L17" i="13"/>
  <c r="L19" i="13"/>
  <c r="L12" i="13"/>
  <c r="L11" i="13"/>
  <c r="L10" i="13"/>
  <c r="K19" i="13"/>
  <c r="K16" i="13"/>
  <c r="K10" i="13"/>
  <c r="K17" i="13"/>
  <c r="K15" i="13"/>
  <c r="K14" i="13"/>
  <c r="K12" i="13"/>
  <c r="K11" i="13"/>
  <c r="J19" i="13"/>
  <c r="J17" i="13"/>
  <c r="J16" i="13"/>
  <c r="J15" i="13"/>
  <c r="J14" i="13"/>
  <c r="J12" i="13"/>
  <c r="J11" i="13"/>
  <c r="J10" i="13"/>
  <c r="L29" i="11"/>
  <c r="L27" i="11"/>
  <c r="L26" i="11"/>
  <c r="L23" i="11"/>
  <c r="L19" i="11"/>
  <c r="L18" i="11"/>
  <c r="L16" i="11"/>
  <c r="L14" i="11"/>
  <c r="L13" i="11"/>
  <c r="L12" i="11"/>
  <c r="L11" i="11"/>
  <c r="L10" i="11"/>
  <c r="K26" i="11"/>
  <c r="K27" i="11"/>
  <c r="K28" i="11"/>
  <c r="K29" i="11"/>
  <c r="K25" i="11"/>
  <c r="K24" i="11"/>
  <c r="K23" i="11"/>
  <c r="K16" i="11"/>
  <c r="K14" i="11"/>
  <c r="K13" i="11"/>
  <c r="K12" i="11"/>
  <c r="K11" i="11"/>
  <c r="K10" i="11"/>
  <c r="J16" i="11"/>
  <c r="J26" i="11"/>
  <c r="J27" i="11"/>
  <c r="J28" i="11"/>
  <c r="J25" i="11"/>
  <c r="J24" i="11"/>
  <c r="J23" i="11"/>
  <c r="J19" i="11"/>
  <c r="J18" i="11"/>
  <c r="K19" i="11"/>
  <c r="J14" i="11"/>
  <c r="J13" i="11"/>
  <c r="J12" i="11"/>
  <c r="J10" i="11"/>
  <c r="L26" i="9"/>
  <c r="K26" i="9"/>
  <c r="J26" i="9"/>
  <c r="L23" i="9"/>
  <c r="L21" i="9"/>
  <c r="L20" i="9"/>
  <c r="K20" i="9"/>
  <c r="K18" i="9"/>
  <c r="L15" i="9"/>
  <c r="L14" i="9"/>
  <c r="L11" i="9"/>
  <c r="K14" i="9"/>
  <c r="K25" i="9"/>
  <c r="J25" i="9"/>
  <c r="K24" i="9"/>
  <c r="J23" i="9"/>
  <c r="K21" i="9"/>
  <c r="J21" i="9"/>
  <c r="K15" i="9"/>
  <c r="K12" i="9"/>
  <c r="K11" i="9"/>
  <c r="K10" i="9"/>
  <c r="J15" i="9"/>
  <c r="J10" i="9"/>
  <c r="J11" i="9"/>
  <c r="K25" i="8"/>
  <c r="K22" i="8"/>
  <c r="K20" i="8"/>
  <c r="K18" i="8"/>
  <c r="K16" i="8"/>
  <c r="K14" i="8"/>
  <c r="K12" i="8"/>
  <c r="K10" i="8"/>
  <c r="L27" i="8"/>
  <c r="L20" i="8"/>
  <c r="L16" i="8"/>
  <c r="L14" i="8"/>
  <c r="L12" i="8"/>
  <c r="L10" i="8"/>
  <c r="J22" i="8"/>
  <c r="J12" i="8"/>
  <c r="J25" i="8"/>
  <c r="J27" i="8"/>
  <c r="K23" i="7"/>
  <c r="K24" i="7"/>
  <c r="K22" i="7"/>
  <c r="K20" i="7"/>
  <c r="K19" i="7"/>
  <c r="K14" i="7"/>
  <c r="K16" i="7"/>
  <c r="K17" i="7"/>
  <c r="K25" i="3"/>
  <c r="K24" i="3"/>
  <c r="K22" i="3"/>
  <c r="K21" i="3"/>
  <c r="K19" i="3"/>
  <c r="K11" i="3"/>
  <c r="K12" i="3"/>
  <c r="K13" i="3"/>
  <c r="K14" i="3"/>
  <c r="K15" i="3"/>
  <c r="K16" i="3"/>
  <c r="K17" i="3"/>
  <c r="K10" i="3"/>
  <c r="J20" i="8"/>
  <c r="J16" i="8"/>
  <c r="J14" i="8"/>
  <c r="J10" i="8"/>
  <c r="F33" i="7"/>
  <c r="G33" i="7"/>
  <c r="H33" i="7"/>
  <c r="I33" i="7"/>
  <c r="F34" i="7"/>
  <c r="G34" i="7"/>
  <c r="H34" i="7"/>
  <c r="I34" i="7"/>
  <c r="F35" i="7"/>
  <c r="G35" i="7"/>
  <c r="H35" i="7"/>
  <c r="I35" i="7"/>
  <c r="L24" i="7"/>
  <c r="L23" i="7"/>
  <c r="L22" i="7"/>
  <c r="L20" i="7"/>
  <c r="L19" i="7"/>
  <c r="L17" i="7"/>
  <c r="L16" i="7"/>
  <c r="L15" i="7"/>
  <c r="L14" i="7"/>
  <c r="L13" i="7"/>
  <c r="J20" i="7"/>
  <c r="J24" i="7"/>
  <c r="J23" i="7"/>
  <c r="J22" i="7"/>
  <c r="J19" i="7"/>
  <c r="J17" i="7"/>
  <c r="J16" i="7"/>
  <c r="J15" i="7"/>
  <c r="J14" i="7"/>
  <c r="J13" i="7"/>
  <c r="K23" i="3"/>
  <c r="F30" i="3"/>
  <c r="G30" i="3"/>
  <c r="H30" i="3"/>
  <c r="I30" i="3"/>
  <c r="F31" i="3"/>
  <c r="G31" i="3"/>
  <c r="H31" i="3"/>
  <c r="I31" i="3"/>
  <c r="F32" i="3"/>
  <c r="G32" i="3"/>
  <c r="H32" i="3"/>
  <c r="I32" i="3"/>
  <c r="F33" i="3"/>
  <c r="G33" i="3"/>
  <c r="H33" i="3"/>
  <c r="I33" i="3"/>
  <c r="L22" i="3"/>
  <c r="L21" i="3"/>
  <c r="L19" i="3"/>
  <c r="L17" i="3"/>
  <c r="L16" i="3"/>
  <c r="L15" i="3"/>
  <c r="L14" i="3"/>
  <c r="L13" i="3"/>
  <c r="J11" i="3"/>
  <c r="J12" i="3"/>
  <c r="J13" i="3"/>
  <c r="J14" i="3"/>
  <c r="J15" i="3"/>
  <c r="J16" i="3"/>
  <c r="J17" i="3"/>
  <c r="J19" i="3"/>
  <c r="J21" i="3"/>
  <c r="J22" i="3"/>
  <c r="J24" i="3"/>
  <c r="J25" i="3"/>
  <c r="J10" i="3"/>
  <c r="E42" i="8" l="1"/>
  <c r="E30" i="13"/>
  <c r="F39" i="11"/>
  <c r="I39" i="11"/>
  <c r="H39" i="11"/>
  <c r="G39" i="11"/>
  <c r="J29" i="8"/>
  <c r="F37" i="9"/>
  <c r="G37" i="9"/>
  <c r="I37" i="9"/>
  <c r="J27" i="7"/>
  <c r="J26" i="7"/>
  <c r="J25" i="7"/>
  <c r="R106" i="14"/>
  <c r="R98" i="14"/>
  <c r="R90" i="14"/>
  <c r="R82" i="14"/>
  <c r="R74" i="14"/>
  <c r="R66" i="14"/>
  <c r="R58" i="14"/>
  <c r="R50" i="14"/>
  <c r="R42" i="14"/>
  <c r="R34" i="14"/>
  <c r="R26" i="14"/>
  <c r="R18" i="14"/>
  <c r="R105" i="14"/>
  <c r="R97" i="14"/>
  <c r="R89" i="14"/>
  <c r="R81" i="14"/>
  <c r="R73" i="14"/>
  <c r="R65" i="14"/>
  <c r="R57" i="14"/>
  <c r="R49" i="14"/>
  <c r="R41" i="14"/>
  <c r="R33" i="14"/>
  <c r="R25" i="14"/>
  <c r="I42" i="8"/>
  <c r="E45" i="8"/>
  <c r="H42" i="8"/>
  <c r="G42" i="8"/>
  <c r="F42" i="8"/>
  <c r="I36" i="7"/>
  <c r="E39" i="7"/>
  <c r="E36" i="7"/>
  <c r="E37" i="9"/>
  <c r="E40" i="9"/>
  <c r="H37" i="9"/>
  <c r="E39" i="11"/>
  <c r="E42" i="11"/>
  <c r="E37" i="3"/>
  <c r="E34" i="3"/>
  <c r="H34" i="3"/>
  <c r="I34" i="3"/>
  <c r="I30" i="13"/>
  <c r="F36" i="7"/>
  <c r="G36" i="7"/>
  <c r="H36" i="7"/>
  <c r="H30" i="13"/>
  <c r="G30" i="13"/>
  <c r="F30" i="13"/>
  <c r="E33" i="13"/>
  <c r="F34" i="3"/>
  <c r="G34" i="3"/>
  <c r="E43" i="8" l="1"/>
  <c r="K38" i="8" s="1"/>
  <c r="L38" i="8" s="1"/>
  <c r="H40" i="11"/>
  <c r="I38" i="9"/>
  <c r="F35" i="3"/>
  <c r="F31" i="13"/>
  <c r="E31" i="13"/>
  <c r="G31" i="13"/>
  <c r="H31" i="13"/>
  <c r="I31" i="13"/>
  <c r="H43" i="8"/>
  <c r="I43" i="8"/>
  <c r="G43" i="8"/>
  <c r="F43" i="8"/>
  <c r="I37" i="7"/>
  <c r="H37" i="7"/>
  <c r="G37" i="7"/>
  <c r="F37" i="7"/>
  <c r="E37" i="7"/>
  <c r="H38" i="9"/>
  <c r="E40" i="11"/>
  <c r="G40" i="11"/>
  <c r="F40" i="11"/>
  <c r="I40" i="11"/>
  <c r="I35" i="3"/>
  <c r="E35" i="3"/>
  <c r="H35" i="3"/>
  <c r="G35" i="3"/>
  <c r="M17" i="14" l="1"/>
  <c r="N17" i="14" s="1"/>
  <c r="O17" i="14" s="1"/>
  <c r="P17" i="14" s="1"/>
  <c r="M25" i="14"/>
  <c r="N25" i="14" s="1"/>
  <c r="O25" i="14" s="1"/>
  <c r="P25" i="14" s="1"/>
  <c r="M33" i="14"/>
  <c r="N33" i="14" s="1"/>
  <c r="O33" i="14" s="1"/>
  <c r="P33" i="14" s="1"/>
  <c r="M41" i="14"/>
  <c r="N41" i="14" s="1"/>
  <c r="O41" i="14" s="1"/>
  <c r="P41" i="14" s="1"/>
  <c r="M49" i="14"/>
  <c r="N49" i="14" s="1"/>
  <c r="O49" i="14" s="1"/>
  <c r="P49" i="14" s="1"/>
  <c r="M57" i="14"/>
  <c r="N57" i="14" s="1"/>
  <c r="O57" i="14" s="1"/>
  <c r="P57" i="14" s="1"/>
  <c r="M65" i="14"/>
  <c r="N65" i="14" s="1"/>
  <c r="O65" i="14" s="1"/>
  <c r="P65" i="14" s="1"/>
  <c r="M73" i="14"/>
  <c r="N73" i="14" s="1"/>
  <c r="O73" i="14" s="1"/>
  <c r="P73" i="14" s="1"/>
  <c r="M81" i="14"/>
  <c r="N81" i="14" s="1"/>
  <c r="O81" i="14" s="1"/>
  <c r="P81" i="14" s="1"/>
  <c r="M89" i="14"/>
  <c r="N89" i="14" s="1"/>
  <c r="O89" i="14" s="1"/>
  <c r="P89" i="14" s="1"/>
  <c r="M97" i="14"/>
  <c r="N97" i="14" s="1"/>
  <c r="O97" i="14" s="1"/>
  <c r="P97" i="14" s="1"/>
  <c r="M105" i="14"/>
  <c r="N105" i="14" s="1"/>
  <c r="O105" i="14" s="1"/>
  <c r="P105" i="14" s="1"/>
  <c r="M10" i="14"/>
  <c r="N10" i="14" s="1"/>
  <c r="O10" i="14" s="1"/>
  <c r="P10" i="14" s="1"/>
  <c r="M18" i="14"/>
  <c r="N18" i="14" s="1"/>
  <c r="O18" i="14" s="1"/>
  <c r="P18" i="14" s="1"/>
  <c r="M26" i="14"/>
  <c r="N26" i="14" s="1"/>
  <c r="O26" i="14" s="1"/>
  <c r="P26" i="14" s="1"/>
  <c r="M34" i="14"/>
  <c r="N34" i="14" s="1"/>
  <c r="O34" i="14" s="1"/>
  <c r="P34" i="14" s="1"/>
  <c r="M42" i="14"/>
  <c r="N42" i="14" s="1"/>
  <c r="O42" i="14" s="1"/>
  <c r="P42" i="14" s="1"/>
  <c r="M50" i="14"/>
  <c r="N50" i="14" s="1"/>
  <c r="O50" i="14" s="1"/>
  <c r="P50" i="14" s="1"/>
  <c r="M58" i="14"/>
  <c r="N58" i="14" s="1"/>
  <c r="O58" i="14" s="1"/>
  <c r="P58" i="14" s="1"/>
  <c r="M66" i="14"/>
  <c r="N66" i="14" s="1"/>
  <c r="O66" i="14" s="1"/>
  <c r="P66" i="14" s="1"/>
  <c r="M74" i="14"/>
  <c r="N74" i="14" s="1"/>
  <c r="O74" i="14" s="1"/>
  <c r="P74" i="14" s="1"/>
  <c r="M82" i="14"/>
  <c r="N82" i="14" s="1"/>
  <c r="O82" i="14" s="1"/>
  <c r="P82" i="14" s="1"/>
  <c r="M90" i="14"/>
  <c r="N90" i="14" s="1"/>
  <c r="O90" i="14" s="1"/>
  <c r="P90" i="14" s="1"/>
  <c r="M98" i="14"/>
  <c r="N98" i="14" s="1"/>
  <c r="O98" i="14" s="1"/>
  <c r="P98" i="14" s="1"/>
  <c r="M106" i="14"/>
  <c r="N106" i="14" s="1"/>
  <c r="O106" i="14" s="1"/>
  <c r="P106" i="14" s="1"/>
  <c r="M19" i="14"/>
  <c r="N19" i="14" s="1"/>
  <c r="O19" i="14" s="1"/>
  <c r="P19" i="14" s="1"/>
  <c r="M11" i="14"/>
  <c r="N11" i="14" s="1"/>
  <c r="O11" i="14" s="1"/>
  <c r="P11" i="14" s="1"/>
  <c r="M27" i="14"/>
  <c r="N27" i="14" s="1"/>
  <c r="O27" i="14" s="1"/>
  <c r="P27" i="14" s="1"/>
  <c r="M35" i="14"/>
  <c r="N35" i="14" s="1"/>
  <c r="O35" i="14" s="1"/>
  <c r="P35" i="14" s="1"/>
  <c r="M43" i="14"/>
  <c r="N43" i="14" s="1"/>
  <c r="O43" i="14" s="1"/>
  <c r="P43" i="14" s="1"/>
  <c r="M51" i="14"/>
  <c r="N51" i="14" s="1"/>
  <c r="O51" i="14" s="1"/>
  <c r="P51" i="14" s="1"/>
  <c r="M59" i="14"/>
  <c r="N59" i="14" s="1"/>
  <c r="O59" i="14" s="1"/>
  <c r="P59" i="14" s="1"/>
  <c r="M67" i="14"/>
  <c r="N67" i="14" s="1"/>
  <c r="O67" i="14" s="1"/>
  <c r="P67" i="14" s="1"/>
  <c r="M75" i="14"/>
  <c r="N75" i="14" s="1"/>
  <c r="O75" i="14" s="1"/>
  <c r="P75" i="14" s="1"/>
  <c r="M83" i="14"/>
  <c r="N83" i="14" s="1"/>
  <c r="O83" i="14" s="1"/>
  <c r="P83" i="14" s="1"/>
  <c r="M91" i="14"/>
  <c r="N91" i="14" s="1"/>
  <c r="O91" i="14" s="1"/>
  <c r="P91" i="14" s="1"/>
  <c r="M99" i="14"/>
  <c r="N99" i="14" s="1"/>
  <c r="O99" i="14" s="1"/>
  <c r="P99" i="14" s="1"/>
  <c r="M107" i="14"/>
  <c r="N107" i="14" s="1"/>
  <c r="O107" i="14" s="1"/>
  <c r="P107" i="14" s="1"/>
  <c r="M13" i="14"/>
  <c r="N13" i="14" s="1"/>
  <c r="O13" i="14" s="1"/>
  <c r="P13" i="14" s="1"/>
  <c r="M21" i="14"/>
  <c r="N21" i="14" s="1"/>
  <c r="O21" i="14" s="1"/>
  <c r="P21" i="14" s="1"/>
  <c r="M29" i="14"/>
  <c r="N29" i="14" s="1"/>
  <c r="O29" i="14" s="1"/>
  <c r="P29" i="14" s="1"/>
  <c r="M37" i="14"/>
  <c r="N37" i="14" s="1"/>
  <c r="O37" i="14" s="1"/>
  <c r="P37" i="14" s="1"/>
  <c r="M45" i="14"/>
  <c r="N45" i="14" s="1"/>
  <c r="O45" i="14" s="1"/>
  <c r="P45" i="14" s="1"/>
  <c r="M53" i="14"/>
  <c r="N53" i="14" s="1"/>
  <c r="O53" i="14" s="1"/>
  <c r="P53" i="14" s="1"/>
  <c r="M61" i="14"/>
  <c r="N61" i="14" s="1"/>
  <c r="O61" i="14" s="1"/>
  <c r="P61" i="14" s="1"/>
  <c r="M69" i="14"/>
  <c r="N69" i="14" s="1"/>
  <c r="O69" i="14" s="1"/>
  <c r="P69" i="14" s="1"/>
  <c r="M77" i="14"/>
  <c r="N77" i="14" s="1"/>
  <c r="O77" i="14" s="1"/>
  <c r="P77" i="14" s="1"/>
  <c r="M85" i="14"/>
  <c r="N85" i="14" s="1"/>
  <c r="O85" i="14" s="1"/>
  <c r="P85" i="14" s="1"/>
  <c r="M93" i="14"/>
  <c r="N93" i="14" s="1"/>
  <c r="O93" i="14" s="1"/>
  <c r="P93" i="14" s="1"/>
  <c r="M101" i="14"/>
  <c r="N101" i="14" s="1"/>
  <c r="O101" i="14" s="1"/>
  <c r="P101" i="14" s="1"/>
  <c r="M109" i="14"/>
  <c r="N109" i="14" s="1"/>
  <c r="O109" i="14" s="1"/>
  <c r="P109" i="14" s="1"/>
  <c r="M14" i="14"/>
  <c r="N14" i="14" s="1"/>
  <c r="O14" i="14" s="1"/>
  <c r="P14" i="14" s="1"/>
  <c r="M22" i="14"/>
  <c r="N22" i="14" s="1"/>
  <c r="O22" i="14" s="1"/>
  <c r="P22" i="14" s="1"/>
  <c r="M30" i="14"/>
  <c r="N30" i="14" s="1"/>
  <c r="O30" i="14" s="1"/>
  <c r="P30" i="14" s="1"/>
  <c r="M38" i="14"/>
  <c r="N38" i="14" s="1"/>
  <c r="O38" i="14" s="1"/>
  <c r="P38" i="14" s="1"/>
  <c r="M46" i="14"/>
  <c r="N46" i="14" s="1"/>
  <c r="O46" i="14" s="1"/>
  <c r="P46" i="14" s="1"/>
  <c r="M54" i="14"/>
  <c r="N54" i="14" s="1"/>
  <c r="O54" i="14" s="1"/>
  <c r="P54" i="14" s="1"/>
  <c r="M62" i="14"/>
  <c r="N62" i="14" s="1"/>
  <c r="O62" i="14" s="1"/>
  <c r="P62" i="14" s="1"/>
  <c r="M70" i="14"/>
  <c r="N70" i="14" s="1"/>
  <c r="O70" i="14" s="1"/>
  <c r="P70" i="14" s="1"/>
  <c r="M78" i="14"/>
  <c r="N78" i="14" s="1"/>
  <c r="O78" i="14" s="1"/>
  <c r="P78" i="14" s="1"/>
  <c r="M86" i="14"/>
  <c r="N86" i="14" s="1"/>
  <c r="O86" i="14" s="1"/>
  <c r="P86" i="14" s="1"/>
  <c r="M94" i="14"/>
  <c r="N94" i="14" s="1"/>
  <c r="O94" i="14" s="1"/>
  <c r="P94" i="14" s="1"/>
  <c r="M102" i="14"/>
  <c r="N102" i="14" s="1"/>
  <c r="O102" i="14" s="1"/>
  <c r="P102" i="14" s="1"/>
  <c r="M9" i="14"/>
  <c r="N9" i="14" s="1"/>
  <c r="O9" i="14" s="1"/>
  <c r="P9" i="14" s="1"/>
  <c r="M31" i="14"/>
  <c r="N31" i="14" s="1"/>
  <c r="O31" i="14" s="1"/>
  <c r="P31" i="14" s="1"/>
  <c r="M52" i="14"/>
  <c r="N52" i="14" s="1"/>
  <c r="O52" i="14" s="1"/>
  <c r="P52" i="14" s="1"/>
  <c r="M72" i="14"/>
  <c r="N72" i="14" s="1"/>
  <c r="O72" i="14" s="1"/>
  <c r="P72" i="14" s="1"/>
  <c r="M95" i="14"/>
  <c r="N95" i="14" s="1"/>
  <c r="O95" i="14" s="1"/>
  <c r="P95" i="14" s="1"/>
  <c r="M12" i="14"/>
  <c r="N12" i="14" s="1"/>
  <c r="O12" i="14" s="1"/>
  <c r="P12" i="14" s="1"/>
  <c r="M32" i="14"/>
  <c r="N32" i="14" s="1"/>
  <c r="O32" i="14" s="1"/>
  <c r="P32" i="14" s="1"/>
  <c r="M55" i="14"/>
  <c r="N55" i="14" s="1"/>
  <c r="O55" i="14" s="1"/>
  <c r="P55" i="14" s="1"/>
  <c r="M76" i="14"/>
  <c r="N76" i="14" s="1"/>
  <c r="O76" i="14" s="1"/>
  <c r="P76" i="14" s="1"/>
  <c r="M96" i="14"/>
  <c r="N96" i="14" s="1"/>
  <c r="O96" i="14" s="1"/>
  <c r="P96" i="14" s="1"/>
  <c r="M80" i="14"/>
  <c r="N80" i="14" s="1"/>
  <c r="O80" i="14" s="1"/>
  <c r="P80" i="14" s="1"/>
  <c r="M15" i="14"/>
  <c r="N15" i="14" s="1"/>
  <c r="O15" i="14" s="1"/>
  <c r="P15" i="14" s="1"/>
  <c r="M36" i="14"/>
  <c r="N36" i="14" s="1"/>
  <c r="O36" i="14" s="1"/>
  <c r="P36" i="14" s="1"/>
  <c r="M56" i="14"/>
  <c r="N56" i="14" s="1"/>
  <c r="O56" i="14" s="1"/>
  <c r="P56" i="14" s="1"/>
  <c r="M79" i="14"/>
  <c r="N79" i="14" s="1"/>
  <c r="O79" i="14" s="1"/>
  <c r="P79" i="14" s="1"/>
  <c r="M100" i="14"/>
  <c r="N100" i="14" s="1"/>
  <c r="O100" i="14" s="1"/>
  <c r="P100" i="14" s="1"/>
  <c r="M60" i="14"/>
  <c r="N60" i="14" s="1"/>
  <c r="O60" i="14" s="1"/>
  <c r="P60" i="14" s="1"/>
  <c r="M16" i="14"/>
  <c r="N16" i="14" s="1"/>
  <c r="O16" i="14" s="1"/>
  <c r="P16" i="14" s="1"/>
  <c r="M39" i="14"/>
  <c r="N39" i="14" s="1"/>
  <c r="O39" i="14" s="1"/>
  <c r="P39" i="14" s="1"/>
  <c r="M103" i="14"/>
  <c r="N103" i="14" s="1"/>
  <c r="O103" i="14" s="1"/>
  <c r="P103" i="14" s="1"/>
  <c r="M20" i="14"/>
  <c r="N20" i="14" s="1"/>
  <c r="O20" i="14" s="1"/>
  <c r="P20" i="14" s="1"/>
  <c r="M40" i="14"/>
  <c r="N40" i="14" s="1"/>
  <c r="O40" i="14" s="1"/>
  <c r="P40" i="14" s="1"/>
  <c r="M63" i="14"/>
  <c r="N63" i="14" s="1"/>
  <c r="O63" i="14" s="1"/>
  <c r="P63" i="14" s="1"/>
  <c r="M84" i="14"/>
  <c r="N84" i="14" s="1"/>
  <c r="O84" i="14" s="1"/>
  <c r="P84" i="14" s="1"/>
  <c r="M104" i="14"/>
  <c r="N104" i="14" s="1"/>
  <c r="O104" i="14" s="1"/>
  <c r="P104" i="14" s="1"/>
  <c r="M48" i="14"/>
  <c r="N48" i="14" s="1"/>
  <c r="O48" i="14" s="1"/>
  <c r="P48" i="14" s="1"/>
  <c r="M92" i="14"/>
  <c r="N92" i="14" s="1"/>
  <c r="O92" i="14" s="1"/>
  <c r="P92" i="14" s="1"/>
  <c r="M23" i="14"/>
  <c r="N23" i="14" s="1"/>
  <c r="O23" i="14" s="1"/>
  <c r="P23" i="14" s="1"/>
  <c r="M44" i="14"/>
  <c r="N44" i="14" s="1"/>
  <c r="O44" i="14" s="1"/>
  <c r="P44" i="14" s="1"/>
  <c r="M64" i="14"/>
  <c r="N64" i="14" s="1"/>
  <c r="O64" i="14" s="1"/>
  <c r="P64" i="14" s="1"/>
  <c r="M87" i="14"/>
  <c r="N87" i="14" s="1"/>
  <c r="O87" i="14" s="1"/>
  <c r="P87" i="14" s="1"/>
  <c r="M108" i="14"/>
  <c r="N108" i="14" s="1"/>
  <c r="O108" i="14" s="1"/>
  <c r="P108" i="14" s="1"/>
  <c r="M24" i="14"/>
  <c r="N24" i="14" s="1"/>
  <c r="O24" i="14" s="1"/>
  <c r="P24" i="14" s="1"/>
  <c r="M47" i="14"/>
  <c r="N47" i="14" s="1"/>
  <c r="O47" i="14" s="1"/>
  <c r="P47" i="14" s="1"/>
  <c r="M68" i="14"/>
  <c r="N68" i="14" s="1"/>
  <c r="O68" i="14" s="1"/>
  <c r="P68" i="14" s="1"/>
  <c r="M88" i="14"/>
  <c r="N88" i="14" s="1"/>
  <c r="O88" i="14" s="1"/>
  <c r="P88" i="14" s="1"/>
  <c r="M28" i="14"/>
  <c r="N28" i="14" s="1"/>
  <c r="O28" i="14" s="1"/>
  <c r="P28" i="14" s="1"/>
  <c r="M71" i="14"/>
  <c r="N71" i="14" s="1"/>
  <c r="O71" i="14" s="1"/>
  <c r="P71" i="14" s="1"/>
  <c r="K39" i="11"/>
  <c r="L39" i="11" s="1"/>
  <c r="K31" i="13"/>
  <c r="L31" i="13" s="1"/>
  <c r="K35" i="3"/>
  <c r="L35" i="3" s="1"/>
  <c r="C27" i="3" s="1"/>
  <c r="K37" i="7"/>
  <c r="L37" i="7" s="1"/>
  <c r="V21" i="14" l="1"/>
  <c r="W21" i="14" s="1"/>
  <c r="L21" i="15"/>
  <c r="S11" i="15" s="1"/>
  <c r="C23" i="13"/>
  <c r="L19" i="15"/>
  <c r="S12" i="15" s="1"/>
  <c r="C32" i="11"/>
  <c r="L11" i="15"/>
  <c r="S16" i="15" s="1"/>
  <c r="V109" i="14"/>
  <c r="W109" i="14" s="1"/>
  <c r="X109" i="14" s="1"/>
  <c r="Y109" i="14" s="1"/>
  <c r="AA109" i="14" s="1"/>
  <c r="V55" i="14"/>
  <c r="W55" i="14" s="1"/>
  <c r="AH55" i="14" s="1"/>
  <c r="AI55" i="14" s="1"/>
  <c r="V43" i="14"/>
  <c r="W43" i="14" s="1"/>
  <c r="AH43" i="14" s="1"/>
  <c r="AI43" i="14" s="1"/>
  <c r="V36" i="14"/>
  <c r="W36" i="14" s="1"/>
  <c r="X36" i="14" s="1"/>
  <c r="Y36" i="14" s="1"/>
  <c r="V24" i="14"/>
  <c r="W24" i="14" s="1"/>
  <c r="X24" i="14" s="1"/>
  <c r="Y24" i="14" s="1"/>
  <c r="V77" i="14"/>
  <c r="W77" i="14" s="1"/>
  <c r="AC77" i="14" s="1"/>
  <c r="AD77" i="14" s="1"/>
  <c r="V60" i="14"/>
  <c r="W60" i="14" s="1"/>
  <c r="AH60" i="14" s="1"/>
  <c r="AI60" i="14" s="1"/>
  <c r="V86" i="14"/>
  <c r="W86" i="14" s="1"/>
  <c r="AC86" i="14" s="1"/>
  <c r="AD86" i="14" s="1"/>
  <c r="V89" i="14"/>
  <c r="W89" i="14" s="1"/>
  <c r="AH89" i="14" s="1"/>
  <c r="AI89" i="14" s="1"/>
  <c r="V78" i="14"/>
  <c r="W78" i="14" s="1"/>
  <c r="AC78" i="14" s="1"/>
  <c r="AD78" i="14" s="1"/>
  <c r="V34" i="14"/>
  <c r="W34" i="14" s="1"/>
  <c r="X34" i="14" s="1"/>
  <c r="Y34" i="14" s="1"/>
  <c r="V16" i="14"/>
  <c r="W16" i="14" s="1"/>
  <c r="AC16" i="14" s="1"/>
  <c r="AD16" i="14" s="1"/>
  <c r="V39" i="14"/>
  <c r="W39" i="14" s="1"/>
  <c r="AH39" i="14" s="1"/>
  <c r="AI39" i="14" s="1"/>
  <c r="V33" i="14"/>
  <c r="W33" i="14" s="1"/>
  <c r="X33" i="14" s="1"/>
  <c r="Y33" i="14" s="1"/>
  <c r="V66" i="14"/>
  <c r="W66" i="14" s="1"/>
  <c r="X66" i="14" s="1"/>
  <c r="Y66" i="14" s="1"/>
  <c r="V40" i="14"/>
  <c r="W40" i="14" s="1"/>
  <c r="AC40" i="14" s="1"/>
  <c r="AD40" i="14" s="1"/>
  <c r="V31" i="14"/>
  <c r="W31" i="14" s="1"/>
  <c r="AC31" i="14" s="1"/>
  <c r="AD31" i="14" s="1"/>
  <c r="V91" i="14"/>
  <c r="W91" i="14" s="1"/>
  <c r="AC91" i="14" s="1"/>
  <c r="AD91" i="14" s="1"/>
  <c r="V11" i="14"/>
  <c r="W11" i="14" s="1"/>
  <c r="X11" i="14" s="1"/>
  <c r="Y11" i="14" s="1"/>
  <c r="V72" i="14"/>
  <c r="W72" i="14" s="1"/>
  <c r="AH72" i="14" s="1"/>
  <c r="AI72" i="14" s="1"/>
  <c r="V30" i="14"/>
  <c r="W30" i="14" s="1"/>
  <c r="AC30" i="14" s="1"/>
  <c r="AD30" i="14" s="1"/>
  <c r="V53" i="14"/>
  <c r="W53" i="14" s="1"/>
  <c r="X53" i="14" s="1"/>
  <c r="Y53" i="14" s="1"/>
  <c r="V71" i="14"/>
  <c r="W71" i="14" s="1"/>
  <c r="X71" i="14" s="1"/>
  <c r="Y71" i="14" s="1"/>
  <c r="V99" i="14"/>
  <c r="W99" i="14" s="1"/>
  <c r="AH99" i="14" s="1"/>
  <c r="AI99" i="14" s="1"/>
  <c r="V27" i="14"/>
  <c r="W27" i="14" s="1"/>
  <c r="X27" i="14" s="1"/>
  <c r="Y27" i="14" s="1"/>
  <c r="V92" i="14"/>
  <c r="W92" i="14" s="1"/>
  <c r="AC92" i="14" s="1"/>
  <c r="AD92" i="14" s="1"/>
  <c r="V82" i="14"/>
  <c r="W82" i="14" s="1"/>
  <c r="X82" i="14" s="1"/>
  <c r="Y82" i="14" s="1"/>
  <c r="V10" i="14"/>
  <c r="W10" i="14" s="1"/>
  <c r="AC10" i="14" s="1"/>
  <c r="AD10" i="14" s="1"/>
  <c r="V102" i="14"/>
  <c r="W102" i="14" s="1"/>
  <c r="X102" i="14" s="1"/>
  <c r="Y102" i="14" s="1"/>
  <c r="V37" i="14"/>
  <c r="W37" i="14" s="1"/>
  <c r="X37" i="14" s="1"/>
  <c r="Y37" i="14" s="1"/>
  <c r="V29" i="14"/>
  <c r="W29" i="14" s="1"/>
  <c r="X29" i="14" s="1"/>
  <c r="Y29" i="14" s="1"/>
  <c r="V54" i="14"/>
  <c r="W54" i="14" s="1"/>
  <c r="V83" i="14"/>
  <c r="W83" i="14" s="1"/>
  <c r="V19" i="14"/>
  <c r="W19" i="14" s="1"/>
  <c r="V17" i="14"/>
  <c r="W17" i="14" s="1"/>
  <c r="V15" i="14"/>
  <c r="W15" i="14" s="1"/>
  <c r="V46" i="14"/>
  <c r="W46" i="14" s="1"/>
  <c r="V13" i="14"/>
  <c r="W13" i="14" s="1"/>
  <c r="R17" i="14"/>
  <c r="R29" i="14"/>
  <c r="R10" i="14"/>
  <c r="E38" i="9"/>
  <c r="G38" i="9"/>
  <c r="F38" i="9"/>
  <c r="X21" i="14" l="1"/>
  <c r="Y21" i="14" s="1"/>
  <c r="AH21" i="14"/>
  <c r="AI21" i="14" s="1"/>
  <c r="AC21" i="14"/>
  <c r="AD21" i="14" s="1"/>
  <c r="V48" i="14"/>
  <c r="W48" i="14" s="1"/>
  <c r="AH48" i="14" s="1"/>
  <c r="AI48" i="14" s="1"/>
  <c r="V93" i="14"/>
  <c r="W93" i="14" s="1"/>
  <c r="AC93" i="14" s="1"/>
  <c r="AD93" i="14" s="1"/>
  <c r="V22" i="14"/>
  <c r="W22" i="14" s="1"/>
  <c r="X22" i="14" s="1"/>
  <c r="Y22" i="14" s="1"/>
  <c r="V75" i="14"/>
  <c r="W75" i="14" s="1"/>
  <c r="AH75" i="14" s="1"/>
  <c r="AI75" i="14" s="1"/>
  <c r="V59" i="14"/>
  <c r="W59" i="14" s="1"/>
  <c r="AH59" i="14" s="1"/>
  <c r="AI59" i="14" s="1"/>
  <c r="AK59" i="14" s="1"/>
  <c r="V95" i="14"/>
  <c r="W95" i="14" s="1"/>
  <c r="AC95" i="14" s="1"/>
  <c r="AD95" i="14" s="1"/>
  <c r="V61" i="14"/>
  <c r="W61" i="14" s="1"/>
  <c r="AH61" i="14" s="1"/>
  <c r="AI61" i="14" s="1"/>
  <c r="V94" i="14"/>
  <c r="W94" i="14" s="1"/>
  <c r="X94" i="14" s="1"/>
  <c r="Y94" i="14" s="1"/>
  <c r="V65" i="14"/>
  <c r="W65" i="14" s="1"/>
  <c r="AC65" i="14" s="1"/>
  <c r="AD65" i="14" s="1"/>
  <c r="V28" i="14"/>
  <c r="W28" i="14" s="1"/>
  <c r="AH28" i="14" s="1"/>
  <c r="AI28" i="14" s="1"/>
  <c r="V47" i="14"/>
  <c r="W47" i="14" s="1"/>
  <c r="X47" i="14" s="1"/>
  <c r="Y47" i="14" s="1"/>
  <c r="V101" i="14"/>
  <c r="W101" i="14" s="1"/>
  <c r="AH101" i="14" s="1"/>
  <c r="AI101" i="14" s="1"/>
  <c r="V68" i="14"/>
  <c r="W68" i="14" s="1"/>
  <c r="AC68" i="14" s="1"/>
  <c r="AD68" i="14" s="1"/>
  <c r="V9" i="14"/>
  <c r="W9" i="14" s="1"/>
  <c r="AH9" i="14" s="1"/>
  <c r="AI9" i="14" s="1"/>
  <c r="AK9" i="14" s="1"/>
  <c r="V81" i="14"/>
  <c r="W81" i="14" s="1"/>
  <c r="AC81" i="14" s="1"/>
  <c r="AD81" i="14" s="1"/>
  <c r="V87" i="14"/>
  <c r="W87" i="14" s="1"/>
  <c r="AC87" i="14" s="1"/>
  <c r="AD87" i="14" s="1"/>
  <c r="V38" i="14"/>
  <c r="W38" i="14" s="1"/>
  <c r="X38" i="14" s="1"/>
  <c r="Y38" i="14" s="1"/>
  <c r="V56" i="14"/>
  <c r="W56" i="14" s="1"/>
  <c r="X56" i="14" s="1"/>
  <c r="Y56" i="14" s="1"/>
  <c r="V49" i="14"/>
  <c r="W49" i="14" s="1"/>
  <c r="AC49" i="14" s="1"/>
  <c r="AD49" i="14" s="1"/>
  <c r="V103" i="14"/>
  <c r="W103" i="14" s="1"/>
  <c r="X103" i="14" s="1"/>
  <c r="Y103" i="14" s="1"/>
  <c r="V84" i="14"/>
  <c r="W84" i="14" s="1"/>
  <c r="AH84" i="14" s="1"/>
  <c r="AI84" i="14" s="1"/>
  <c r="V20" i="14"/>
  <c r="W20" i="14" s="1"/>
  <c r="X20" i="14" s="1"/>
  <c r="Y20" i="14" s="1"/>
  <c r="V97" i="14"/>
  <c r="W97" i="14" s="1"/>
  <c r="X97" i="14" s="1"/>
  <c r="Y97" i="14" s="1"/>
  <c r="V96" i="14"/>
  <c r="W96" i="14" s="1"/>
  <c r="X96" i="14" s="1"/>
  <c r="Y96" i="14" s="1"/>
  <c r="V32" i="14"/>
  <c r="W32" i="14" s="1"/>
  <c r="AC32" i="14" s="1"/>
  <c r="AD32" i="14" s="1"/>
  <c r="V42" i="14"/>
  <c r="W42" i="14" s="1"/>
  <c r="X42" i="14" s="1"/>
  <c r="Y42" i="14" s="1"/>
  <c r="V64" i="14"/>
  <c r="W64" i="14" s="1"/>
  <c r="X64" i="14" s="1"/>
  <c r="Y64" i="14" s="1"/>
  <c r="V80" i="14"/>
  <c r="W80" i="14" s="1"/>
  <c r="X80" i="14" s="1"/>
  <c r="Y80" i="14" s="1"/>
  <c r="V105" i="14"/>
  <c r="W105" i="14" s="1"/>
  <c r="AC105" i="14" s="1"/>
  <c r="AD105" i="14" s="1"/>
  <c r="V18" i="14"/>
  <c r="W18" i="14" s="1"/>
  <c r="X18" i="14" s="1"/>
  <c r="Y18" i="14" s="1"/>
  <c r="V57" i="14"/>
  <c r="W57" i="14" s="1"/>
  <c r="AC57" i="14" s="1"/>
  <c r="AD57" i="14" s="1"/>
  <c r="V69" i="14"/>
  <c r="W69" i="14" s="1"/>
  <c r="AH69" i="14" s="1"/>
  <c r="AI69" i="14" s="1"/>
  <c r="V35" i="14"/>
  <c r="W35" i="14" s="1"/>
  <c r="AH35" i="14" s="1"/>
  <c r="AI35" i="14" s="1"/>
  <c r="V14" i="14"/>
  <c r="W14" i="14" s="1"/>
  <c r="AH14" i="14" s="1"/>
  <c r="AI14" i="14" s="1"/>
  <c r="V73" i="14"/>
  <c r="W73" i="14" s="1"/>
  <c r="X73" i="14" s="1"/>
  <c r="Y73" i="14" s="1"/>
  <c r="V104" i="14"/>
  <c r="W104" i="14" s="1"/>
  <c r="AC104" i="14" s="1"/>
  <c r="AD104" i="14" s="1"/>
  <c r="V85" i="14"/>
  <c r="W85" i="14" s="1"/>
  <c r="X85" i="14" s="1"/>
  <c r="Y85" i="14" s="1"/>
  <c r="V106" i="14"/>
  <c r="W106" i="14" s="1"/>
  <c r="X106" i="14" s="1"/>
  <c r="Y106" i="14" s="1"/>
  <c r="V41" i="14"/>
  <c r="W41" i="14" s="1"/>
  <c r="X41" i="14" s="1"/>
  <c r="Y41" i="14" s="1"/>
  <c r="V26" i="14"/>
  <c r="W26" i="14" s="1"/>
  <c r="AC26" i="14" s="1"/>
  <c r="AD26" i="14" s="1"/>
  <c r="V67" i="14"/>
  <c r="W67" i="14" s="1"/>
  <c r="X67" i="14" s="1"/>
  <c r="Y67" i="14" s="1"/>
  <c r="V90" i="14"/>
  <c r="W90" i="14" s="1"/>
  <c r="AH90" i="14" s="1"/>
  <c r="AI90" i="14" s="1"/>
  <c r="V98" i="14"/>
  <c r="W98" i="14" s="1"/>
  <c r="AH98" i="14" s="1"/>
  <c r="AI98" i="14" s="1"/>
  <c r="V62" i="14"/>
  <c r="W62" i="14" s="1"/>
  <c r="AH62" i="14" s="1"/>
  <c r="AI62" i="14" s="1"/>
  <c r="V107" i="14"/>
  <c r="W107" i="14" s="1"/>
  <c r="X107" i="14" s="1"/>
  <c r="Y107" i="14" s="1"/>
  <c r="V74" i="14"/>
  <c r="W74" i="14" s="1"/>
  <c r="AC74" i="14" s="1"/>
  <c r="AD74" i="14" s="1"/>
  <c r="V50" i="14"/>
  <c r="W50" i="14" s="1"/>
  <c r="X50" i="14" s="1"/>
  <c r="Y50" i="14" s="1"/>
  <c r="V58" i="14"/>
  <c r="W58" i="14" s="1"/>
  <c r="AC58" i="14" s="1"/>
  <c r="AD58" i="14" s="1"/>
  <c r="V51" i="14"/>
  <c r="W51" i="14" s="1"/>
  <c r="AC51" i="14" s="1"/>
  <c r="AD51" i="14" s="1"/>
  <c r="V79" i="14"/>
  <c r="W79" i="14" s="1"/>
  <c r="AC79" i="14" s="1"/>
  <c r="AD79" i="14" s="1"/>
  <c r="V76" i="14"/>
  <c r="W76" i="14" s="1"/>
  <c r="AC76" i="14" s="1"/>
  <c r="AD76" i="14" s="1"/>
  <c r="V45" i="14"/>
  <c r="W45" i="14" s="1"/>
  <c r="AC45" i="14" s="1"/>
  <c r="AD45" i="14" s="1"/>
  <c r="V100" i="14"/>
  <c r="W100" i="14" s="1"/>
  <c r="AC100" i="14" s="1"/>
  <c r="AD100" i="14" s="1"/>
  <c r="V63" i="14"/>
  <c r="W63" i="14" s="1"/>
  <c r="AC63" i="14" s="1"/>
  <c r="AD63" i="14" s="1"/>
  <c r="V23" i="14"/>
  <c r="W23" i="14" s="1"/>
  <c r="AC23" i="14" s="1"/>
  <c r="AD23" i="14" s="1"/>
  <c r="V108" i="14"/>
  <c r="W108" i="14" s="1"/>
  <c r="X108" i="14" s="1"/>
  <c r="Y108" i="14" s="1"/>
  <c r="V44" i="14"/>
  <c r="W44" i="14" s="1"/>
  <c r="AH44" i="14" s="1"/>
  <c r="AI44" i="14" s="1"/>
  <c r="AK44" i="14" s="1"/>
  <c r="V88" i="14"/>
  <c r="W88" i="14" s="1"/>
  <c r="AC88" i="14" s="1"/>
  <c r="AD88" i="14" s="1"/>
  <c r="V52" i="14"/>
  <c r="W52" i="14" s="1"/>
  <c r="X52" i="14" s="1"/>
  <c r="Y52" i="14" s="1"/>
  <c r="V70" i="14"/>
  <c r="W70" i="14" s="1"/>
  <c r="AH70" i="14" s="1"/>
  <c r="AI70" i="14" s="1"/>
  <c r="V12" i="14"/>
  <c r="W12" i="14" s="1"/>
  <c r="AH12" i="14" s="1"/>
  <c r="AI12" i="14" s="1"/>
  <c r="V25" i="14"/>
  <c r="W25" i="14" s="1"/>
  <c r="AH25" i="14" s="1"/>
  <c r="AI25" i="14" s="1"/>
  <c r="K37" i="9"/>
  <c r="L37" i="9" s="1"/>
  <c r="AC109" i="14"/>
  <c r="AD109" i="14" s="1"/>
  <c r="AF109" i="14" s="1"/>
  <c r="AH109" i="14"/>
  <c r="AI109" i="14" s="1"/>
  <c r="AK109" i="14" s="1"/>
  <c r="X77" i="14"/>
  <c r="Y77" i="14" s="1"/>
  <c r="AC43" i="14"/>
  <c r="AD43" i="14" s="1"/>
  <c r="AH77" i="14"/>
  <c r="AI77" i="14" s="1"/>
  <c r="AH68" i="14"/>
  <c r="AI68" i="14" s="1"/>
  <c r="X60" i="14"/>
  <c r="Y60" i="14" s="1"/>
  <c r="X10" i="14"/>
  <c r="Y10" i="14" s="1"/>
  <c r="AH36" i="14"/>
  <c r="AI36" i="14" s="1"/>
  <c r="AH82" i="14"/>
  <c r="AI82" i="14" s="1"/>
  <c r="X43" i="14"/>
  <c r="Y43" i="14" s="1"/>
  <c r="AC89" i="14"/>
  <c r="AD89" i="14" s="1"/>
  <c r="X89" i="14"/>
  <c r="Y89" i="14" s="1"/>
  <c r="AC99" i="14"/>
  <c r="AD99" i="14" s="1"/>
  <c r="X40" i="14"/>
  <c r="Y40" i="14" s="1"/>
  <c r="AC39" i="14"/>
  <c r="AD39" i="14" s="1"/>
  <c r="X39" i="14"/>
  <c r="Y39" i="14" s="1"/>
  <c r="AH40" i="14"/>
  <c r="AI40" i="14" s="1"/>
  <c r="X99" i="14"/>
  <c r="Y99" i="14" s="1"/>
  <c r="AH37" i="14"/>
  <c r="AI37" i="14" s="1"/>
  <c r="X91" i="14"/>
  <c r="Y91" i="14" s="1"/>
  <c r="AC66" i="14"/>
  <c r="AD66" i="14" s="1"/>
  <c r="X16" i="14"/>
  <c r="Y16" i="14" s="1"/>
  <c r="AH78" i="14"/>
  <c r="AI78" i="14" s="1"/>
  <c r="X78" i="14"/>
  <c r="Y78" i="14" s="1"/>
  <c r="AH29" i="14"/>
  <c r="AI29" i="14" s="1"/>
  <c r="AH11" i="14"/>
  <c r="AI11" i="14" s="1"/>
  <c r="AC53" i="14"/>
  <c r="AD53" i="14" s="1"/>
  <c r="AC60" i="14"/>
  <c r="AD60" i="14" s="1"/>
  <c r="AC11" i="14"/>
  <c r="AD11" i="14" s="1"/>
  <c r="AC36" i="14"/>
  <c r="AD36" i="14" s="1"/>
  <c r="AH53" i="14"/>
  <c r="AI53" i="14" s="1"/>
  <c r="AH66" i="14"/>
  <c r="AI66" i="14" s="1"/>
  <c r="X30" i="14"/>
  <c r="Y30" i="14" s="1"/>
  <c r="AH91" i="14"/>
  <c r="AI91" i="14" s="1"/>
  <c r="AC29" i="14"/>
  <c r="AD29" i="14" s="1"/>
  <c r="AH30" i="14"/>
  <c r="AI30" i="14" s="1"/>
  <c r="AH27" i="14"/>
  <c r="AI27" i="14" s="1"/>
  <c r="AC27" i="14"/>
  <c r="AD27" i="14" s="1"/>
  <c r="AH10" i="14"/>
  <c r="AI10" i="14" s="1"/>
  <c r="AC55" i="14"/>
  <c r="AD55" i="14" s="1"/>
  <c r="AH71" i="14"/>
  <c r="AI71" i="14" s="1"/>
  <c r="AC72" i="14"/>
  <c r="AD72" i="14" s="1"/>
  <c r="AH86" i="14"/>
  <c r="AI86" i="14" s="1"/>
  <c r="X31" i="14"/>
  <c r="Y31" i="14" s="1"/>
  <c r="AA31" i="14" s="1"/>
  <c r="AC71" i="14"/>
  <c r="AD71" i="14" s="1"/>
  <c r="AC38" i="14"/>
  <c r="AD38" i="14" s="1"/>
  <c r="AC24" i="14"/>
  <c r="AD24" i="14" s="1"/>
  <c r="X92" i="14"/>
  <c r="Y92" i="14" s="1"/>
  <c r="AH34" i="14"/>
  <c r="AI34" i="14" s="1"/>
  <c r="AC37" i="14"/>
  <c r="AD37" i="14" s="1"/>
  <c r="X86" i="14"/>
  <c r="Y86" i="14" s="1"/>
  <c r="X55" i="14"/>
  <c r="Y55" i="14" s="1"/>
  <c r="AC34" i="14"/>
  <c r="AD34" i="14" s="1"/>
  <c r="AH92" i="14"/>
  <c r="AI92" i="14" s="1"/>
  <c r="X72" i="14"/>
  <c r="Y72" i="14" s="1"/>
  <c r="AH102" i="14"/>
  <c r="AI102" i="14" s="1"/>
  <c r="AC33" i="14"/>
  <c r="AD33" i="14" s="1"/>
  <c r="AC82" i="14"/>
  <c r="AD82" i="14" s="1"/>
  <c r="AH31" i="14"/>
  <c r="AI31" i="14" s="1"/>
  <c r="AH16" i="14"/>
  <c r="AI16" i="14" s="1"/>
  <c r="AH24" i="14"/>
  <c r="AI24" i="14" s="1"/>
  <c r="AC102" i="14"/>
  <c r="AD102" i="14" s="1"/>
  <c r="AH33" i="14"/>
  <c r="AI33" i="14" s="1"/>
  <c r="X54" i="14"/>
  <c r="Y54" i="14" s="1"/>
  <c r="AH54" i="14"/>
  <c r="AI54" i="14" s="1"/>
  <c r="AC54" i="14"/>
  <c r="AD54" i="14" s="1"/>
  <c r="X13" i="14"/>
  <c r="Y13" i="14" s="1"/>
  <c r="AH13" i="14"/>
  <c r="AI13" i="14" s="1"/>
  <c r="AC13" i="14"/>
  <c r="AD13" i="14" s="1"/>
  <c r="X17" i="14"/>
  <c r="Y17" i="14" s="1"/>
  <c r="AC17" i="14"/>
  <c r="AD17" i="14" s="1"/>
  <c r="AH17" i="14"/>
  <c r="AI17" i="14" s="1"/>
  <c r="X46" i="14"/>
  <c r="Y46" i="14" s="1"/>
  <c r="AH46" i="14"/>
  <c r="AI46" i="14" s="1"/>
  <c r="AC46" i="14"/>
  <c r="AD46" i="14" s="1"/>
  <c r="X19" i="14"/>
  <c r="Y19" i="14" s="1"/>
  <c r="AA19" i="14" s="1"/>
  <c r="AC19" i="14"/>
  <c r="AD19" i="14" s="1"/>
  <c r="AH19" i="14"/>
  <c r="AI19" i="14" s="1"/>
  <c r="X15" i="14"/>
  <c r="Y15" i="14" s="1"/>
  <c r="AC15" i="14"/>
  <c r="AD15" i="14" s="1"/>
  <c r="AH15" i="14"/>
  <c r="AI15" i="14" s="1"/>
  <c r="X83" i="14"/>
  <c r="Y83" i="14" s="1"/>
  <c r="AC83" i="14"/>
  <c r="AD83" i="14" s="1"/>
  <c r="AH83" i="14"/>
  <c r="AI83" i="14" s="1"/>
  <c r="R109" i="14"/>
  <c r="R104" i="14"/>
  <c r="R9" i="14"/>
  <c r="R11" i="14"/>
  <c r="AC56" i="14" l="1"/>
  <c r="AD56" i="14" s="1"/>
  <c r="AC42" i="14"/>
  <c r="AD42" i="14" s="1"/>
  <c r="X35" i="14"/>
  <c r="Y35" i="14" s="1"/>
  <c r="X81" i="14"/>
  <c r="Y81" i="14" s="1"/>
  <c r="AH47" i="14"/>
  <c r="AI47" i="14" s="1"/>
  <c r="AH81" i="14"/>
  <c r="AI81" i="14" s="1"/>
  <c r="AC22" i="14"/>
  <c r="AD22" i="14" s="1"/>
  <c r="AH49" i="14"/>
  <c r="AI49" i="14" s="1"/>
  <c r="AK49" i="14" s="1"/>
  <c r="AO9" i="14" s="1"/>
  <c r="X88" i="14"/>
  <c r="Y88" i="14" s="1"/>
  <c r="AC50" i="14"/>
  <c r="AD50" i="14" s="1"/>
  <c r="X61" i="14"/>
  <c r="Y61" i="14" s="1"/>
  <c r="AC61" i="14"/>
  <c r="AD61" i="14" s="1"/>
  <c r="X23" i="14"/>
  <c r="Y23" i="14" s="1"/>
  <c r="AC35" i="14"/>
  <c r="AD35" i="14" s="1"/>
  <c r="AC48" i="14"/>
  <c r="AD48" i="14" s="1"/>
  <c r="X48" i="14"/>
  <c r="Y48" i="14" s="1"/>
  <c r="AH32" i="14"/>
  <c r="AI32" i="14" s="1"/>
  <c r="AH38" i="14"/>
  <c r="AI38" i="14" s="1"/>
  <c r="X49" i="14"/>
  <c r="Y49" i="14" s="1"/>
  <c r="AH22" i="14"/>
  <c r="AI22" i="14" s="1"/>
  <c r="AH76" i="14"/>
  <c r="AI76" i="14" s="1"/>
  <c r="AC73" i="14"/>
  <c r="AD73" i="14" s="1"/>
  <c r="X76" i="14"/>
  <c r="Y76" i="14" s="1"/>
  <c r="AH64" i="14"/>
  <c r="AI64" i="14" s="1"/>
  <c r="AC98" i="14"/>
  <c r="AD98" i="14" s="1"/>
  <c r="AC47" i="14"/>
  <c r="AD47" i="14" s="1"/>
  <c r="AH56" i="14"/>
  <c r="AI56" i="14" s="1"/>
  <c r="AH93" i="14"/>
  <c r="AI93" i="14" s="1"/>
  <c r="AC28" i="14"/>
  <c r="AD28" i="14" s="1"/>
  <c r="X93" i="14"/>
  <c r="Y93" i="14" s="1"/>
  <c r="X58" i="14"/>
  <c r="Y58" i="14" s="1"/>
  <c r="X25" i="14"/>
  <c r="Y25" i="14" s="1"/>
  <c r="AH106" i="14"/>
  <c r="AI106" i="14" s="1"/>
  <c r="AH79" i="14"/>
  <c r="AI79" i="14" s="1"/>
  <c r="AC69" i="14"/>
  <c r="AD69" i="14" s="1"/>
  <c r="AH26" i="14"/>
  <c r="AI26" i="14" s="1"/>
  <c r="AH63" i="14"/>
  <c r="AI63" i="14" s="1"/>
  <c r="X79" i="14"/>
  <c r="Y79" i="14" s="1"/>
  <c r="X87" i="14"/>
  <c r="Y87" i="14" s="1"/>
  <c r="AH58" i="14"/>
  <c r="AI58" i="14" s="1"/>
  <c r="AC94" i="14"/>
  <c r="AD94" i="14" s="1"/>
  <c r="AH108" i="14"/>
  <c r="AI108" i="14" s="1"/>
  <c r="AC20" i="14"/>
  <c r="AD20" i="14" s="1"/>
  <c r="X69" i="14"/>
  <c r="Y69" i="14" s="1"/>
  <c r="AA69" i="14" s="1"/>
  <c r="X90" i="14"/>
  <c r="Y90" i="14" s="1"/>
  <c r="AC90" i="14"/>
  <c r="AD90" i="14" s="1"/>
  <c r="AC44" i="14"/>
  <c r="AD44" i="14" s="1"/>
  <c r="AH51" i="14"/>
  <c r="AI51" i="14" s="1"/>
  <c r="AC107" i="14"/>
  <c r="AD107" i="14" s="1"/>
  <c r="X105" i="14"/>
  <c r="Y105" i="14" s="1"/>
  <c r="AC52" i="14"/>
  <c r="AD52" i="14" s="1"/>
  <c r="AH73" i="14"/>
  <c r="AI73" i="14" s="1"/>
  <c r="AH52" i="14"/>
  <c r="AI52" i="14" s="1"/>
  <c r="X32" i="14"/>
  <c r="Y32" i="14" s="1"/>
  <c r="AH41" i="14"/>
  <c r="AI41" i="14" s="1"/>
  <c r="AH57" i="14"/>
  <c r="AI57" i="14" s="1"/>
  <c r="X98" i="14"/>
  <c r="Y98" i="14" s="1"/>
  <c r="AC97" i="14"/>
  <c r="AD97" i="14" s="1"/>
  <c r="AH23" i="14"/>
  <c r="AI23" i="14" s="1"/>
  <c r="AH100" i="14"/>
  <c r="AI100" i="14" s="1"/>
  <c r="AC41" i="14"/>
  <c r="AD41" i="14" s="1"/>
  <c r="X57" i="14"/>
  <c r="Y57" i="14" s="1"/>
  <c r="AH97" i="14"/>
  <c r="AI97" i="14" s="1"/>
  <c r="AC64" i="14"/>
  <c r="AD64" i="14" s="1"/>
  <c r="AC12" i="14"/>
  <c r="AD12" i="14" s="1"/>
  <c r="AH65" i="14"/>
  <c r="AI65" i="14" s="1"/>
  <c r="AH50" i="14"/>
  <c r="AI50" i="14" s="1"/>
  <c r="AC62" i="14"/>
  <c r="AD62" i="14" s="1"/>
  <c r="X104" i="14"/>
  <c r="Y104" i="14" s="1"/>
  <c r="X75" i="14"/>
  <c r="Y75" i="14" s="1"/>
  <c r="AH80" i="14"/>
  <c r="AI80" i="14" s="1"/>
  <c r="AC80" i="14"/>
  <c r="AD80" i="14" s="1"/>
  <c r="AC70" i="14"/>
  <c r="AD70" i="14" s="1"/>
  <c r="AH104" i="14"/>
  <c r="AI104" i="14" s="1"/>
  <c r="AH88" i="14"/>
  <c r="AI88" i="14" s="1"/>
  <c r="X101" i="14"/>
  <c r="Y101" i="14" s="1"/>
  <c r="AC106" i="14"/>
  <c r="AD106" i="14" s="1"/>
  <c r="X9" i="14"/>
  <c r="Y9" i="14" s="1"/>
  <c r="AA9" i="14" s="1"/>
  <c r="AH87" i="14"/>
  <c r="AI87" i="14" s="1"/>
  <c r="X14" i="14"/>
  <c r="Y14" i="14" s="1"/>
  <c r="AC103" i="14"/>
  <c r="AD103" i="14" s="1"/>
  <c r="X84" i="14"/>
  <c r="Y84" i="14" s="1"/>
  <c r="X62" i="14"/>
  <c r="Y62" i="14" s="1"/>
  <c r="AC25" i="14"/>
  <c r="AD25" i="14" s="1"/>
  <c r="AC85" i="14"/>
  <c r="AD85" i="14" s="1"/>
  <c r="AC9" i="14"/>
  <c r="AD9" i="14" s="1"/>
  <c r="AF9" i="14" s="1"/>
  <c r="AH20" i="14"/>
  <c r="AI20" i="14" s="1"/>
  <c r="AH42" i="14"/>
  <c r="AI42" i="14" s="1"/>
  <c r="AC96" i="14"/>
  <c r="AD96" i="14" s="1"/>
  <c r="AH96" i="14"/>
  <c r="AI96" i="14" s="1"/>
  <c r="AH94" i="14"/>
  <c r="AI94" i="14" s="1"/>
  <c r="X70" i="14"/>
  <c r="Y70" i="14" s="1"/>
  <c r="AH45" i="14"/>
  <c r="AI45" i="14" s="1"/>
  <c r="X95" i="14"/>
  <c r="Y95" i="14" s="1"/>
  <c r="AC101" i="14"/>
  <c r="AD101" i="14" s="1"/>
  <c r="AC75" i="14"/>
  <c r="AD75" i="14" s="1"/>
  <c r="AC18" i="14"/>
  <c r="AD18" i="14" s="1"/>
  <c r="AH18" i="14"/>
  <c r="AI18" i="14" s="1"/>
  <c r="X26" i="14"/>
  <c r="Y26" i="14" s="1"/>
  <c r="AC108" i="14"/>
  <c r="AD108" i="14" s="1"/>
  <c r="AH103" i="14"/>
  <c r="AI103" i="14" s="1"/>
  <c r="AC14" i="14"/>
  <c r="AD14" i="14" s="1"/>
  <c r="X45" i="14"/>
  <c r="Y45" i="14" s="1"/>
  <c r="X28" i="14"/>
  <c r="Y28" i="14" s="1"/>
  <c r="AH85" i="14"/>
  <c r="AI85" i="14" s="1"/>
  <c r="AH107" i="14"/>
  <c r="AI107" i="14" s="1"/>
  <c r="X65" i="14"/>
  <c r="Y65" i="14" s="1"/>
  <c r="AH105" i="14"/>
  <c r="AI105" i="14" s="1"/>
  <c r="X44" i="14"/>
  <c r="Y44" i="14" s="1"/>
  <c r="AC59" i="14"/>
  <c r="AD59" i="14" s="1"/>
  <c r="AF59" i="14" s="1"/>
  <c r="AN9" i="14" s="1"/>
  <c r="AH74" i="14"/>
  <c r="AI74" i="14" s="1"/>
  <c r="AH95" i="14"/>
  <c r="AI95" i="14" s="1"/>
  <c r="AC67" i="14"/>
  <c r="AD67" i="14" s="1"/>
  <c r="AH67" i="14"/>
  <c r="AI67" i="14" s="1"/>
  <c r="X63" i="14"/>
  <c r="Y63" i="14" s="1"/>
  <c r="X100" i="14"/>
  <c r="Y100" i="14" s="1"/>
  <c r="AC84" i="14"/>
  <c r="AD84" i="14" s="1"/>
  <c r="X12" i="14"/>
  <c r="Y12" i="14" s="1"/>
  <c r="X59" i="14"/>
  <c r="Y59" i="14" s="1"/>
  <c r="AA59" i="14" s="1"/>
  <c r="X51" i="14"/>
  <c r="Y51" i="14" s="1"/>
  <c r="X74" i="14"/>
  <c r="Y74" i="14" s="1"/>
  <c r="X68" i="14"/>
  <c r="Y68" i="14" s="1"/>
  <c r="S9" i="14"/>
  <c r="L39" i="8" s="1"/>
  <c r="L17" i="15"/>
  <c r="S13" i="15" s="1"/>
  <c r="C28" i="9"/>
  <c r="AM9" i="14" l="1"/>
  <c r="AN11" i="14" s="1"/>
  <c r="L38" i="7" s="1"/>
  <c r="C29" i="7" s="1"/>
  <c r="C31" i="8"/>
  <c r="L15" i="15" s="1"/>
  <c r="S14" i="15" s="1"/>
  <c r="L13" i="15" l="1"/>
  <c r="S15" i="15" s="1"/>
</calcChain>
</file>

<file path=xl/sharedStrings.xml><?xml version="1.0" encoding="utf-8"?>
<sst xmlns="http://schemas.openxmlformats.org/spreadsheetml/2006/main" count="430" uniqueCount="280">
  <si>
    <t xml:space="preserve">Energieeffizienz in den Gemeinden </t>
  </si>
  <si>
    <t>Das Projekt hat positive Rückmeldungen erhalten: Dank gezielter Werbung auf dem Gebiet wurden etwa 116 Gemeinden in das Projekt eingebunden. 90 dieser Gemeinden haben einen Energie-Check mit Hilfe der im Rahmen des Projektes erstellten Methode durchgeführt. Außerdem wurden mit der Ernennung eines Energieteams in jeder Gemeinde etwa 512 Verwalter und Entscheidungsträger einbezogen. Das Projekt startete im Jahr 2011 und endete im Jahr 2015.</t>
  </si>
  <si>
    <t>KlimaGemeinde Light</t>
  </si>
  <si>
    <t>Checkliste zur Erhebung des Ist-Zustandes</t>
  </si>
  <si>
    <t>Grunddaten</t>
  </si>
  <si>
    <t>Allgemeines</t>
  </si>
  <si>
    <t>Erstellt am:</t>
  </si>
  <si>
    <t xml:space="preserve">
</t>
  </si>
  <si>
    <t>Aktuelles Datum:</t>
  </si>
  <si>
    <t>BearbeiterIn:</t>
  </si>
  <si>
    <t>Dateiname:</t>
  </si>
  <si>
    <t>Angaben zur Gemeinde</t>
  </si>
  <si>
    <t>Gemeinde:</t>
  </si>
  <si>
    <t>Gemeinde oder Stadt</t>
  </si>
  <si>
    <t>Anzahl EinwohnerInnen:</t>
  </si>
  <si>
    <t>Bürgermeister:</t>
  </si>
  <si>
    <t>E-Mail:</t>
  </si>
  <si>
    <t>Telefon:</t>
  </si>
  <si>
    <t>Ansprechpartner:</t>
  </si>
  <si>
    <t>Bereich</t>
  </si>
  <si>
    <t>Frage</t>
  </si>
  <si>
    <t>Anmerkung</t>
  </si>
  <si>
    <t>erfüllt</t>
  </si>
  <si>
    <t>A</t>
  </si>
  <si>
    <t>Entwicklungsplanung</t>
  </si>
  <si>
    <t>A1</t>
  </si>
  <si>
    <t>Ist die Gemeinde Mitglied beim Klimabündnis/Bürgermeisterkonvent, o.ä.?</t>
  </si>
  <si>
    <t>bewertet</t>
  </si>
  <si>
    <t>A2</t>
  </si>
  <si>
    <t>Hat die Gemeinde ein Energiemanagementsystem (EMAS, ISO, eea)?</t>
  </si>
  <si>
    <t>Maßnahme</t>
  </si>
  <si>
    <t>A3</t>
  </si>
  <si>
    <t>Gibt es einen "Lokale Agenda 21-Prozess" oder andere Bürgerbeteiligungsprozesse in der Gemeinde?</t>
  </si>
  <si>
    <t>A4</t>
  </si>
  <si>
    <t>Gibt es ein kommunales oder regionales Leitbild mit klaren energie- und klimapolitischen Zielsetzungen (qualifizierte und quantifizierte), inkl. Aussagen zum Verkehr?</t>
  </si>
  <si>
    <t>A5</t>
  </si>
  <si>
    <t>A6</t>
  </si>
  <si>
    <t xml:space="preserve">Hat die Gemeinde ein kommunales Energiekonzept erstellt? </t>
  </si>
  <si>
    <t>A7</t>
  </si>
  <si>
    <t>Hat die Gemeinde ein Mobilitätskonzept erstellt?</t>
  </si>
  <si>
    <t>A8</t>
  </si>
  <si>
    <t>Sind im räumlichen Entwicklungskonzept energierelevante Maßnahmen enthalten? z.B. Nachverdichtung der Sieldungsgebiete, Vorzugsgebiete für Nutzung erneuerbarer Energieträger, …</t>
  </si>
  <si>
    <t>A8/1</t>
  </si>
  <si>
    <t>Wenn ja welche Maßnahmen?</t>
  </si>
  <si>
    <t>A9</t>
  </si>
  <si>
    <t>A9/1</t>
  </si>
  <si>
    <t>Wenn ja, welche Aktivitäten?</t>
  </si>
  <si>
    <t>A10</t>
  </si>
  <si>
    <t>Gibt es in der Gemeinde einen Energie-, Klima- oder Umweltausschuss?</t>
  </si>
  <si>
    <t>A11</t>
  </si>
  <si>
    <t>Bestehen in der Gemeinde Arbeitsgruppen, die sich mit dem Thema "Energie" beschäftigen? z.B. Energieteam, Klimabündnis-Gruppe, etc…</t>
  </si>
  <si>
    <t>A11/1</t>
  </si>
  <si>
    <t>A12</t>
  </si>
  <si>
    <t>A13</t>
  </si>
  <si>
    <t>Besuchen Mitarbeiter der Gemeinde regelmäßig energie-, klima- und umweltrelevante Weiterbildungen/Veranstaltungen?</t>
  </si>
  <si>
    <t xml:space="preserve">     Übersicht</t>
  </si>
  <si>
    <t>Gemeinde A++</t>
  </si>
  <si>
    <t>Checkliste</t>
  </si>
  <si>
    <t>Verbrauchserfassung</t>
  </si>
  <si>
    <t>Diagramm</t>
  </si>
  <si>
    <t>A Entwicklungsplan</t>
  </si>
  <si>
    <t>B Gemeindeeigene Gebäude</t>
  </si>
  <si>
    <t>C Strom und Wärme</t>
  </si>
  <si>
    <t>D Wasser und Abfall</t>
  </si>
  <si>
    <t>E Mobilität</t>
  </si>
  <si>
    <t>F Kommunikation und Kooperation</t>
  </si>
  <si>
    <t>Gesamtliste</t>
  </si>
  <si>
    <t>B1/1</t>
  </si>
  <si>
    <t>B5/1</t>
  </si>
  <si>
    <t>B6</t>
  </si>
  <si>
    <t>B7</t>
  </si>
  <si>
    <t>B7/1</t>
  </si>
  <si>
    <t>B8</t>
  </si>
  <si>
    <t>B9</t>
  </si>
  <si>
    <t>B10</t>
  </si>
  <si>
    <t>B</t>
  </si>
  <si>
    <t>Bitte um Angabe für welche Gebäude Energieausweise bereits erstellt worden sind.</t>
  </si>
  <si>
    <t>Wird jährlich ein kommunaler Energiebericht erstellt?</t>
  </si>
  <si>
    <t>Wenn ja, wird dieser vor den zuständigen Gremien (Gemeinderat, Verwaltung) präsentiert?</t>
  </si>
  <si>
    <t>Gibt es konkrete Pläne für die nächsten 5 Jahre, gemeindeeigene Objekte energetisch und ökologisch zu sanieren?</t>
  </si>
  <si>
    <t>Werden bei kommunalen Bauprojekten (Neubau oder Sanierung) energetische und ökologische Kriterien als Entscheidungkriterien herangezogen? 
z.B. Passivhausbauweise, Lebenszykluskosten</t>
  </si>
  <si>
    <t>Wenn ja, bitte um Angabe von Beispielen wo dies bereits gemacht wurde.</t>
  </si>
  <si>
    <t>Werden der Stromverbrauch und die Kosten  der Straßenbeleuchtungsanlage(n) separat erfasst bzw. gezählt?</t>
  </si>
  <si>
    <t>Wurden bereits Maßnahmen zu einer energieeffizienten und umweltverträglichen Straßenbeleuchtung umgesetzt?</t>
  </si>
  <si>
    <t>Wenn ja, welche?</t>
  </si>
  <si>
    <t>Gibt es eine Erfassung des Treibstoffverbrauchs der gemeindeeigenen Fahrzeuge?</t>
  </si>
  <si>
    <t>Besuchen die Hauswarte der gemeindeeigenen Gebäude regelmäßig Weiterbildungen/Seminare?</t>
  </si>
  <si>
    <t>Gemeindeeigene Gebäude</t>
  </si>
  <si>
    <t>C</t>
  </si>
  <si>
    <t>Strom und Wärme</t>
  </si>
  <si>
    <t>C1</t>
  </si>
  <si>
    <t>Gibt es Ökostromerzeugungsanlagen, die sich in Gemeindebesitz befinden?</t>
  </si>
  <si>
    <t>C1/1</t>
  </si>
  <si>
    <t>Wenn ja, bitte um Angabe der Ökostromproduktion. (MWh/a)</t>
  </si>
  <si>
    <t>C2</t>
  </si>
  <si>
    <t>Kauft die Gemeinde Ökostrom?</t>
  </si>
  <si>
    <t>C2/1</t>
  </si>
  <si>
    <t>Wenn ja, bitte um Angabe der Menge. (MWh/a)</t>
  </si>
  <si>
    <t>C3</t>
  </si>
  <si>
    <t>C3/1</t>
  </si>
  <si>
    <t>Angabe der erzeugten Strommenge (MWh/a) im gesamten Gemeindegebiet.</t>
  </si>
  <si>
    <t>C4</t>
  </si>
  <si>
    <t>Gibt es in der Gemeinde Initiativen zur Errichtung gemeinschaftlicher Ökostromanlagen?</t>
  </si>
  <si>
    <t>C4/1</t>
  </si>
  <si>
    <t>C5</t>
  </si>
  <si>
    <t>Hat die Gemeinde Einnahmen aus Anteilen an Energieversorgungsunternehmen, Durchleitungsgebühren, Pachteinnahmen, …?</t>
  </si>
  <si>
    <t>C6</t>
  </si>
  <si>
    <t>Wie groß ist der Gesamtstrombedarf auf Gemeindegebiet? (MWh/a)</t>
  </si>
  <si>
    <t>C7</t>
  </si>
  <si>
    <t>C7/1</t>
  </si>
  <si>
    <t>C8</t>
  </si>
  <si>
    <t>C8/1</t>
  </si>
  <si>
    <t>Wenn ja, bitte um Angabe der erzeugten Wärmemenge? (MWh/a)</t>
  </si>
  <si>
    <t>C8/2</t>
  </si>
  <si>
    <t>Wie groß ist der Gesamtwärmebedarf auf dem Gemeindegebiet? (MWh/a)</t>
  </si>
  <si>
    <t>C9</t>
  </si>
  <si>
    <t xml:space="preserve">Gibt es in der Gemeinde Inititativen zur Errichtung gemeinschaftlicher Wärmeerzeugungsanlagen (Nahwärmeanlagen) auf Basis erneuerbarer Energien? </t>
  </si>
  <si>
    <t>C9/1</t>
  </si>
  <si>
    <t>C10</t>
  </si>
  <si>
    <t>C10/1</t>
  </si>
  <si>
    <t>D</t>
  </si>
  <si>
    <t>Wasser und Abfall</t>
  </si>
  <si>
    <t>D1</t>
  </si>
  <si>
    <t>Werden von der Gemeinde trinkwassersparende Maßnahmen (z.B. Regenwassernutzung, ….) gefördert?</t>
  </si>
  <si>
    <t>D2</t>
  </si>
  <si>
    <t>D3</t>
  </si>
  <si>
    <t>D3/1</t>
  </si>
  <si>
    <t>Wenn nein, bitte Beteiligung an der Versorgungseinrichtung in % angeben.</t>
  </si>
  <si>
    <t>D3/2</t>
  </si>
  <si>
    <t>Wenn ja, ist bei einer oder mehreren Anlagen in den letzten 10 Jahren eine Energieanalyse durchgeführt worden?</t>
  </si>
  <si>
    <t>D4</t>
  </si>
  <si>
    <t>D4/1</t>
  </si>
  <si>
    <t>D5</t>
  </si>
  <si>
    <t>D6</t>
  </si>
  <si>
    <t>D6/1</t>
  </si>
  <si>
    <t>D6/2</t>
  </si>
  <si>
    <t>Ist bei der Anlage in den letzten 10 Jahren eine Energieanalyse durchgeführt worden?</t>
  </si>
  <si>
    <t>D7</t>
  </si>
  <si>
    <t>D7/1</t>
  </si>
  <si>
    <t>D8</t>
  </si>
  <si>
    <t>D9</t>
  </si>
  <si>
    <t>Gibt es in der Gemeinde Betriebe mit nennenswerten Mengen biogener Abfälle?
z.B. Lebensmittelindustrie, holzverarbeitende Betriebe,…</t>
  </si>
  <si>
    <t>D10</t>
  </si>
  <si>
    <t>Informiert die Gemeinde ihre BürgerInnen regelmäßig zur Abfallvermeidung, Abfalltrennung und Verwertung?  
z.B. mit Veranstaltungen, Gemeindezeitung, Flugblätter,…</t>
  </si>
  <si>
    <t>D11</t>
  </si>
  <si>
    <t>E</t>
  </si>
  <si>
    <t>Mobilität</t>
  </si>
  <si>
    <t>E1</t>
  </si>
  <si>
    <t>E2</t>
  </si>
  <si>
    <t>E3</t>
  </si>
  <si>
    <t>E4</t>
  </si>
  <si>
    <t>E5</t>
  </si>
  <si>
    <t>Werden Aktivitäten zur Errichtung eines attraktiven Fußwegenetzes in der Gemeinde gesetzt?
z.B. Fußgängerzone, sichere Querungsmöglichkeiten, kurze Wege…</t>
  </si>
  <si>
    <t>E5/1</t>
  </si>
  <si>
    <t>E6</t>
  </si>
  <si>
    <t>Gibt es in der Gemeinde Anstrengungen, um attraktive Radverbindungen zu schaffen?</t>
  </si>
  <si>
    <t>E6/1</t>
  </si>
  <si>
    <t>E7</t>
  </si>
  <si>
    <t>Gibt es attraktive Radabstellanlagen an allen wichtigen Zielpunkten?</t>
  </si>
  <si>
    <t>E8</t>
  </si>
  <si>
    <t>E8/1</t>
  </si>
  <si>
    <t>Bitte um Angabe von Taktdichten, Linien, Haltestellendichte,…</t>
  </si>
  <si>
    <t>E9</t>
  </si>
  <si>
    <t xml:space="preserve">Wie wird der öffentliche Verkehr finanziert? </t>
  </si>
  <si>
    <t>E9/1</t>
  </si>
  <si>
    <t>Bitte um Angabe der Kosten für die Gemeinde.</t>
  </si>
  <si>
    <t>E10</t>
  </si>
  <si>
    <t xml:space="preserve">Fördert die Gemeinde die Nutzung öffentlicher Verkehrsmittel? </t>
  </si>
  <si>
    <t>E11</t>
  </si>
  <si>
    <t>Verfügt die Gemeinde über einen innerörtlichen öffentlichen Verkehr?</t>
  </si>
  <si>
    <t>E12</t>
  </si>
  <si>
    <t>E13</t>
  </si>
  <si>
    <t>Gibt es eine kommunale oder regionale Mobilitätszentrale bzw. Beratungsstelle?</t>
  </si>
  <si>
    <t>E14</t>
  </si>
  <si>
    <t>E15</t>
  </si>
  <si>
    <t>Werden in der Gemeinde regelmäßig Veranstaltungen bzw. Aktionen zum Thema klimaschonende Mobilität durchgeführt?</t>
  </si>
  <si>
    <t>E16</t>
  </si>
  <si>
    <t xml:space="preserve">Gibt es in der Gemeinde barrierefreie Mobilität? </t>
  </si>
  <si>
    <t>F</t>
  </si>
  <si>
    <t>Kommunikation und Kooperation</t>
  </si>
  <si>
    <t>F1</t>
  </si>
  <si>
    <t>F2</t>
  </si>
  <si>
    <t>F3</t>
  </si>
  <si>
    <t xml:space="preserve">Wurde die Bevölkerung in der Gemeinde bereits zu Energiethemen befragt? </t>
  </si>
  <si>
    <t>F3/1</t>
  </si>
  <si>
    <t>Wenn ja, wurden diese Ergebnisse berücksichtigt? Bitte um Beschreibung in welcher Art.</t>
  </si>
  <si>
    <t>F4</t>
  </si>
  <si>
    <t>F5</t>
  </si>
  <si>
    <t>F6</t>
  </si>
  <si>
    <t>F7</t>
  </si>
  <si>
    <t>Hat die Gemeinde eine Energieberatungsstelle im Ort bzw. ist sie finanziell an einer regionalen Beratungssstelle beteiligt?</t>
  </si>
  <si>
    <t>F7/1</t>
  </si>
  <si>
    <t>In welchen Intervallen finden Beratungen in der Beratungsstelle statt?</t>
  </si>
  <si>
    <t>F8</t>
  </si>
  <si>
    <t>Gibt es in der Gemeinde Energieförderungen für die GemeindebürgerInnen?</t>
  </si>
  <si>
    <t>F8/1</t>
  </si>
  <si>
    <t>Wenn ja, welche:
Thermische Gebäudesanierung
Solarthermie
Fotovoltaik
Thermographie
Biomasseheizungen
Wärmepumpen
sonstige</t>
  </si>
  <si>
    <t>F8/2</t>
  </si>
  <si>
    <t>Anteil erneuerbarer Energien (%)</t>
  </si>
  <si>
    <t>- Anteil % erneuerbarer Energien</t>
  </si>
  <si>
    <t>- Zielerreichungsgrad (%)</t>
  </si>
  <si>
    <t>Zielerreichungsgrad (%)</t>
  </si>
  <si>
    <t>Strom</t>
  </si>
  <si>
    <t>Umsetzungsgrad nach Bereichen</t>
  </si>
  <si>
    <t>in hunderstel:</t>
  </si>
  <si>
    <t>Prozentueller Wert:</t>
  </si>
  <si>
    <t>% Energien</t>
  </si>
  <si>
    <t>Berich C:</t>
  </si>
  <si>
    <t>Punkte + oder -</t>
  </si>
  <si>
    <t>%</t>
  </si>
  <si>
    <t>BEREICH C</t>
  </si>
  <si>
    <t>BEREICH B</t>
  </si>
  <si>
    <t>% Wärme</t>
  </si>
  <si>
    <t>BERICH B:</t>
  </si>
  <si>
    <t>WÄRME</t>
  </si>
  <si>
    <t>% Wasser</t>
  </si>
  <si>
    <t>WASSER</t>
  </si>
  <si>
    <t>Wärme (%)</t>
  </si>
  <si>
    <t>Wasser (%)</t>
  </si>
  <si>
    <t>Strom (%)</t>
  </si>
  <si>
    <t>%Strom</t>
  </si>
  <si>
    <t xml:space="preserve">Sind für alle gemeindeeigenen Gebäude Energieausweise erstellt worden? </t>
  </si>
  <si>
    <t xml:space="preserve">Wird der auf Gemeindegebiet anfallende Abfall energetisch genutzt?                                                                                                                      </t>
  </si>
  <si>
    <t>von 100 Punkten erreicht</t>
  </si>
  <si>
    <t>Unternimmt die Gemeinde Anstrengungen zur Aufwertung des öffentlichen Raumes?
z.B. Fussgängerzonen, attraktive Gestaltung von Plätzen, entsprechende Beleuchtung, Begrünung, …</t>
  </si>
  <si>
    <r>
      <t>Hat die Gemeinden innerhalb der letzten 10 Jahre eine Energie- und/oder CO</t>
    </r>
    <r>
      <rPr>
        <vertAlign val="subscript"/>
        <sz val="10"/>
        <rFont val="Arial"/>
        <family val="2"/>
      </rPr>
      <t>2</t>
    </r>
    <r>
      <rPr>
        <sz val="10"/>
        <rFont val="Arial"/>
        <family val="2"/>
      </rPr>
      <t>-Bilanz erstellt?</t>
    </r>
  </si>
  <si>
    <t>B1</t>
  </si>
  <si>
    <t>B2</t>
  </si>
  <si>
    <t>B3</t>
  </si>
  <si>
    <t>B4</t>
  </si>
  <si>
    <t>B3/1</t>
  </si>
  <si>
    <t>B5</t>
  </si>
  <si>
    <t>Verbrauchs- erfassung</t>
  </si>
  <si>
    <r>
      <t xml:space="preserve">Betreibt die Gemeinde selbst eine eigene Wasserversorgungsanlage?                                                                                   </t>
    </r>
    <r>
      <rPr>
        <sz val="10"/>
        <color theme="0"/>
        <rFont val="Arial"/>
        <family val="2"/>
      </rPr>
      <t xml:space="preserve"> </t>
    </r>
    <r>
      <rPr>
        <sz val="10"/>
        <rFont val="Arial"/>
        <family val="2"/>
      </rPr>
      <t xml:space="preserve">                                                                                                                         </t>
    </r>
  </si>
  <si>
    <r>
      <t xml:space="preserve">Werden in der Gemeinde Maßnahmen zur Abfallvermeidung gefördert bzw. unterstützt?
z.B. Windelgutschein, Häckseldienst, Geschirrverleih, Geschirrmobil,…                                                                                          </t>
    </r>
    <r>
      <rPr>
        <sz val="10"/>
        <color theme="0"/>
        <rFont val="Arial"/>
        <family val="2"/>
      </rPr>
      <t xml:space="preserve"> </t>
    </r>
  </si>
  <si>
    <r>
      <t xml:space="preserve">Gesamtbewertung (aus dem </t>
    </r>
    <r>
      <rPr>
        <b/>
        <u/>
        <sz val="14"/>
        <color indexed="9"/>
        <rFont val="Arial"/>
        <family val="2"/>
      </rPr>
      <t>vereinfachten</t>
    </r>
    <r>
      <rPr>
        <b/>
        <sz val="14"/>
        <color indexed="9"/>
        <rFont val="Arial"/>
        <family val="2"/>
      </rPr>
      <t xml:space="preserve"> Ja/Nein-Schema)</t>
    </r>
  </si>
  <si>
    <t>XXXX</t>
  </si>
  <si>
    <t>Bitte die Verbrauchsdaten der gemeindeeigenen Gebäude im EBO (Energiebericht Online) eingeben!</t>
  </si>
  <si>
    <r>
      <t xml:space="preserve">Bitte die Verbrauchsdaten der gemeindeeigenen Gebäude im </t>
    </r>
    <r>
      <rPr>
        <b/>
        <sz val="10"/>
        <color theme="1"/>
        <rFont val="Arial"/>
        <family val="2"/>
      </rPr>
      <t>EBO (Energiebericht Online)</t>
    </r>
    <r>
      <rPr>
        <sz val="10"/>
        <color theme="1"/>
        <rFont val="Arial"/>
        <family val="2"/>
      </rPr>
      <t xml:space="preserve"> eingeben!</t>
    </r>
  </si>
  <si>
    <t>x</t>
  </si>
  <si>
    <t>Kugelschreiber</t>
  </si>
  <si>
    <r>
      <t xml:space="preserve">
                                                                                                                                                                                                                                                                                                                                                                                                                                                                                                                                                         </t>
    </r>
    <r>
      <rPr>
        <b/>
        <sz val="14"/>
        <color indexed="9"/>
        <rFont val="Arial"/>
        <family val="2"/>
      </rPr>
      <t>Gemeinden A++                                                                                                                                                                                                                                                                                                                                                                                                                                                                                                                                                     COME - Wir sind Energiegemeinden</t>
    </r>
    <r>
      <rPr>
        <sz val="10"/>
        <color indexed="9"/>
        <rFont val="Arial"/>
        <family val="2"/>
      </rPr>
      <t xml:space="preserve">
</t>
    </r>
    <r>
      <rPr>
        <sz val="11"/>
        <color indexed="9"/>
        <rFont val="Arial"/>
        <family val="2"/>
      </rPr>
      <t>Checkliste</t>
    </r>
    <r>
      <rPr>
        <sz val="10"/>
        <color indexed="9"/>
        <rFont val="Arial"/>
        <family val="2"/>
      </rPr>
      <t xml:space="preserve">
</t>
    </r>
  </si>
  <si>
    <r>
      <t xml:space="preserve">Die folgende Checkliste ist eines der Tools, das in Rahmen des Projektes </t>
    </r>
    <r>
      <rPr>
        <b/>
        <sz val="12"/>
        <rFont val="Arial"/>
        <family val="2"/>
      </rPr>
      <t>"Gemeinden A++ - COME: Wir sind Energiegemeinden"</t>
    </r>
    <r>
      <rPr>
        <sz val="12"/>
        <rFont val="Arial"/>
        <family val="2"/>
      </rPr>
      <t xml:space="preserve"> entwickelt wurde. Das Projekt wurde durch den europäischen Fond für regionale Entwicklung- INTERREG IV Italien-Österreich finanziert. Am Projekt beteiligte Partner und Entwickler der Checkliste und der Maßnahmen des Katalogs sind: APE Agenzia dell´Energia per il Friuli Venezia Giulia, Energie Tirol, Land Kärnten, Ökoinstitut Südtirol/Alto Adige, Provinz Udine und Provinz Belluno. Die Autonome Provinz Bozen und die Region Friuli Venezia Giulia nahmen als assoziierte Partner am Projekt teil.                                                                         </t>
    </r>
  </si>
  <si>
    <t>Die Projektpartner arbeiten seit Jahren mit den Gemeinden in den betroffenen Regionen zusammen und wussten somit bereits vorab von den Schwierigkeiten, die sich bei der Teilnahme an solchen Energie- und Umweltprogrammen ergeben. Es fehlte nämlich häufig eine einfache, gut strukturierte und einheitliche Anwendungsmethode, die es den Gemeinden erlaubte sich mit Begeisterung und Engagement für Energiefragen einzusetzen. Hauptziel des Projektes war es, ein einfaches, vollständiges und übergreifendes Programm in den Gemeindeverwaltungen für die Erhebung des aktuellen Zustands bezüglich Energieversorgung und -effizienz auszuarbeiten. Die wichtigsten Ergebnisse des Projekts waren die Erarbeitung dieser Checkliste und die Entwicklung der verschiedenen Maßnahmen, die die Gemeinden durchführen können, um ihre Energie- Perfomance zu verbessern.</t>
  </si>
  <si>
    <t>Die während des Projekts erarbeitete Checkliste wurde ins Programm KlimaGemeinde Light integriert und an dessen Notwendigkeit angepasst. Ziel des Programms KlimaGemeinde Light ist die Verwendung eines Energie-Buchhaltungssystems für kleine Gemeinden und die Durchführung von konkreten energie- und umweltrelevante Maßnahmen.</t>
  </si>
  <si>
    <t xml:space="preserve">KlimaGemeinde Light ist als erster Schritt hin zur Teilnahme am komplexeren und ambitionierteren Programm KlimaGemeinde mit entsprechenden Zertifizierung gedacht.                                          Das Programm Klimagemeinde Light sieht für Gemeinden unter 5000 Einwohner die Ausfüllung dieser vereinfachten Checkliste vor, mit der energetisch und umweltrelevante Aspekte der Gemeinde analysiert und überprüft werden können. Das Ziel des vorliegenden Fragebogens ist die Erfassung des Ist-Zustands und die Erkennung des möglichen Potentials einer Gemeinde, damit in weiterer Folge Verbesserungsmaßnahmen vorgeschlagen und ausgearbeitet werden können.
Um eine möglichst vollständige und qualitativ hochwertige Ist-Analyse erstellen zu können, ersuchen wir Sie die vorliegenden Fragen so detailliert und vollständig wie möglich zu beantworten (Schulnotensystem), nur so können Stärken und Potentiale richtig interpretiert werden. 
Für einen erste Analyse werden die Ergebnisse grafisch in einem Balkendiagramm dargestellt. Die Bewertung bzw. Gewichtung der einzelnen Maßnahmen ist hier absichtlich sehr einfach gehalten, da nur ein erster Überblick über die zur Verfügung stehenden Stärken und Potentiale einer Gemeinde gegeben werden soll!
</t>
  </si>
  <si>
    <t xml:space="preserve">Bewertung: 1 = beste Bewertung </t>
  </si>
  <si>
    <t>5 = schlechteste Bewertung</t>
  </si>
  <si>
    <t>Gibt es kommunale Aktivitäten hinsichtlich "Ökologischer Beschaffung"? z.B.  Baustoffe, Fahrzeuge, Fairtrade Produkte, Büroartikel, energieeffiziente Geräte, ökologische Putzmittel, regionale Produkte, …</t>
  </si>
  <si>
    <t>Wenn ja, welche Personen arbeiten in dem Team mit? Z.B. aus der Verwaltung, Politik, Bevölkerung, Gewerbe, …</t>
  </si>
  <si>
    <t>Stellt die Gemeinde jährlich ein Budget (exklusive Gemeindeförderungen) für die Umsetzung von kommunalen Energie, - Umwelt, - oder Klimaaktivitäten zur Verfügung? Z.B. für Studien, Öffentlichkeitsarbeit, Schulprojekte, Beratungen, Bewusstseinsbildung</t>
  </si>
  <si>
    <t>Findet eine regelmäßige Aufzeichnung der Energie- und Wasserverbräuche aller relevanten gemeindeeigenen Gebäude und Anlagen statt? Z.B. laufende Energiebuchhaltung</t>
  </si>
  <si>
    <t>Gibt es eine Beschaffungsrichtlinie für Fahrzeuge? Z.B. EURO 5 als Vorgabe</t>
  </si>
  <si>
    <t>Gibt es in der Gemeinde (Gemeindegebiet) Stromerzeugungsanlagen (gewerblich und privat) auf Basis erneuerbarer Energie? Z.B. Biogas, Wasserkraft, Fotovoltaik, Windkraft,...</t>
  </si>
  <si>
    <t>Gibt es in der Gemeinde Initiativen zu einem sparsameren Umgang mit elektrischem Strom?
z.B. Stromverbrauchsmessungen, Energiesparlampen, Standby, ……</t>
  </si>
  <si>
    <t>Gibt es Nah- bzw. Fernwärmeerzeugungsanlagen auf dem Gemeindegebiet?</t>
  </si>
  <si>
    <t xml:space="preserve">Gibt es in der Gemeinde Inititativen zur Erhöhung des Anteils erneuerbarer Energien zur Wärmeversorgung in privaten Haushalten? </t>
  </si>
  <si>
    <t>Informiert die Gemeinde ihre BürgerInnen regelmäßig über den sparsamen Umgang mit Trinkwasser?  Z.B. durch Veranstaltungen, Gemeindezeitung, Flugblätter,…</t>
  </si>
  <si>
    <t>Ist der Stromverbrauch der Wasserversorgung bekannt? Z.B. Pumpstationen</t>
  </si>
  <si>
    <t>Wenn ja, bitte um Angabe des Stromverbrauches. (kWh/a)</t>
  </si>
  <si>
    <t>Wie groß ist der Gesamtwasserbedarf auf dem Gemeindegebiet? (m³/a)</t>
  </si>
  <si>
    <t xml:space="preserve">Betreibt die Gemeinde eine eigene Abwasserreinigungsanlage? </t>
  </si>
  <si>
    <t>Ist der Stromverbrauch der Abwasserentsorgung (ARA und Pumpen) bekannt?</t>
  </si>
  <si>
    <t>Fördert die Gemeinde klimaschonendes Mobilitätsverhalten bei ihren MitarbeiterInnen bzw. im eigenen Bereich? Z.B. Dienstfahrräder, Radabstellanlagen, Zuschuss für die Benutzung des ÖV, spritsparendes Fahren,…</t>
  </si>
  <si>
    <t>Gibt es in der Gemeinde ein Parkraummanagement? Z.B. Kurzparkzonen, Zweckbindung von Einnahmen, …</t>
  </si>
  <si>
    <t>Wurden in der Gemeinde Temporeduktions- und Begegnungszonen realisiert? Z.B. Tempo 30, Shared space, …</t>
  </si>
  <si>
    <t xml:space="preserve">Verfügt die Gemeinde über eine attraktive Anbindung ans öffentliche Verkehrsnetz? </t>
  </si>
  <si>
    <t>Fördert die Gemeinde kombinierte Mobilität? Z.B. Car-Sharing, Taxi, Park &amp; Ride, Bike &amp; Ride, Bedarfssysteme, Fahrgemeinschaften, …</t>
  </si>
  <si>
    <t>Wird die Bevölkerung regelmäßig über klimaschonende Mobilität informiert?
Z.B. Gemeindezeitungen, Homepages, regionale Medien</t>
  </si>
  <si>
    <t>Informiert die Gemeinde die Bevölkerung regelmäßig über das Thema Energieeffizienz und erneuerbare Energie?
z.B. Gemeindezeitung, Website, regionale Medien, projektbezogene Informations- und Öffentlichkeitsarbeit</t>
  </si>
  <si>
    <t>Wurden in den letzten 3 Jahren in der Gemeinde Veranstaltungen  und Aktionen zur effizienten Energienutzung und zur Förderung erneuerbarer Energien durchgeführt?
Z.B. Vorträge, Ausstellungen, Messen, Energieaktionstage,…</t>
  </si>
  <si>
    <t>Hat die Gemeinde in den letzten Jahren energie- und umweltrelevante Kooperationsprojekte mit Institutionen initiiert bzw. durchgeführt? Z.B. Vereine, Energieagenturen, Umweltorganisationen, etc.</t>
  </si>
  <si>
    <t>Hat die Gemeinde in den letzten Jahren energie- und umweltrelevante Kooperationsprojekte mit der lokalen Wirtschaft initiiert bzw. durchgeführt? Z.B. Dämmaktion mit Baustoffhandel, Direktvermarktung lokaler Bio-Produkte, …</t>
  </si>
  <si>
    <t>Hat die Gemeinde in den letzten Jahren energie- und umweltrelevante Kooperationsprojekte mit den Schulen initiiert bzw. durchgeführt? Z.B. Energie- Projektwochen, autofreier Tag, Grüne Meilen, Pedibus, …</t>
  </si>
  <si>
    <t>Wenn ja, bitte um Angabe der Höhe der Energieförderungen</t>
  </si>
  <si>
    <t>Die folgenden Daten sind dem EBO (Energiebericht Online) zu entnehmen und in die gelben Zellen einzutragen (Eintragung Prozentzahl ohne "%" Zeichen):</t>
  </si>
  <si>
    <t>Anmerkungen und Hinweise zur Nutzung dieser Checkliste:</t>
  </si>
  <si>
    <t xml:space="preserve">2) Bei den zu bearbeitenden Feldern/Zellen, sollte die Funktion "Ausschneiden" vermieden werden! </t>
  </si>
  <si>
    <t>1) Die Zeilenhöhe muss selbst angepasst werden, damit alle Anmerkungen bzw. Texte sichtbar werden.</t>
  </si>
  <si>
    <t>3) Ein Ergebnis wird nur in den Diagrammen angezeigt, wenn alle Felder, die bewertet werden (mit x gekennzeichnet), eine Bewertung erhalten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</si>
</sst>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
  </numFmts>
  <fonts count="44" x14ac:knownFonts="1">
    <font>
      <sz val="11"/>
      <color theme="1"/>
      <name val="Aptos Narrow"/>
      <family val="2"/>
      <scheme val="minor"/>
    </font>
    <font>
      <sz val="10"/>
      <color theme="0"/>
      <name val="Arial"/>
      <family val="2"/>
    </font>
    <font>
      <b/>
      <sz val="14"/>
      <color indexed="9"/>
      <name val="Arial"/>
      <family val="2"/>
    </font>
    <font>
      <sz val="10"/>
      <color indexed="9"/>
      <name val="Arial"/>
      <family val="2"/>
    </font>
    <font>
      <sz val="11"/>
      <color indexed="9"/>
      <name val="Arial"/>
      <family val="2"/>
    </font>
    <font>
      <sz val="12"/>
      <name val="Univers"/>
      <family val="2"/>
    </font>
    <font>
      <b/>
      <sz val="12"/>
      <color theme="0"/>
      <name val="Arial"/>
      <family val="2"/>
    </font>
    <font>
      <sz val="10"/>
      <name val="Arial"/>
      <family val="2"/>
    </font>
    <font>
      <b/>
      <sz val="10"/>
      <name val="Arial"/>
      <family val="2"/>
    </font>
    <font>
      <u/>
      <sz val="11"/>
      <color theme="10"/>
      <name val="Aptos Narrow"/>
      <family val="2"/>
      <scheme val="minor"/>
    </font>
    <font>
      <b/>
      <sz val="14"/>
      <color theme="0"/>
      <name val="Arial"/>
      <family val="2"/>
    </font>
    <font>
      <b/>
      <sz val="11"/>
      <color theme="0"/>
      <name val="Arial"/>
      <family val="2"/>
    </font>
    <font>
      <sz val="8"/>
      <color theme="0"/>
      <name val="Arial"/>
      <family val="2"/>
    </font>
    <font>
      <b/>
      <sz val="10"/>
      <color theme="0"/>
      <name val="Arial"/>
      <family val="2"/>
    </font>
    <font>
      <u/>
      <sz val="10"/>
      <name val="Arial"/>
      <family val="2"/>
    </font>
    <font>
      <b/>
      <sz val="10"/>
      <color rgb="FF78A751"/>
      <name val="Arial"/>
      <family val="2"/>
    </font>
    <font>
      <sz val="9"/>
      <color rgb="FFFF0000"/>
      <name val="Aptos Narrow"/>
      <family val="2"/>
      <scheme val="minor"/>
    </font>
    <font>
      <sz val="11"/>
      <color theme="2" tint="-0.249977111117893"/>
      <name val="Aptos Narrow"/>
      <family val="2"/>
      <scheme val="minor"/>
    </font>
    <font>
      <sz val="11"/>
      <color rgb="FFFF0000"/>
      <name val="Aptos Narrow"/>
      <family val="2"/>
      <scheme val="minor"/>
    </font>
    <font>
      <sz val="10"/>
      <color rgb="FFFF0000"/>
      <name val="Arial"/>
      <family val="2"/>
    </font>
    <font>
      <sz val="10"/>
      <color theme="2" tint="-0.249977111117893"/>
      <name val="Arial"/>
      <family val="2"/>
    </font>
    <font>
      <sz val="8"/>
      <name val="Aptos Narrow"/>
      <family val="2"/>
      <scheme val="minor"/>
    </font>
    <font>
      <sz val="11"/>
      <color theme="0"/>
      <name val="Aptos Narrow"/>
      <family val="2"/>
      <scheme val="minor"/>
    </font>
    <font>
      <b/>
      <sz val="12"/>
      <name val="Arial"/>
      <family val="2"/>
    </font>
    <font>
      <sz val="11"/>
      <name val="Aptos Narrow"/>
      <family val="2"/>
      <scheme val="minor"/>
    </font>
    <font>
      <vertAlign val="subscript"/>
      <sz val="10"/>
      <name val="Arial"/>
      <family val="2"/>
    </font>
    <font>
      <sz val="10"/>
      <color theme="1"/>
      <name val="Arial"/>
      <family val="2"/>
    </font>
    <font>
      <b/>
      <sz val="10"/>
      <color theme="1"/>
      <name val="Arial"/>
      <family val="2"/>
    </font>
    <font>
      <sz val="10"/>
      <color rgb="FF1E1E1E"/>
      <name val="Arial"/>
      <family val="2"/>
    </font>
    <font>
      <sz val="9"/>
      <color rgb="FFFF0000"/>
      <name val="Arial"/>
      <family val="2"/>
    </font>
    <font>
      <sz val="11"/>
      <color theme="1"/>
      <name val="Arial"/>
      <family val="2"/>
    </font>
    <font>
      <sz val="10"/>
      <color rgb="FF000000"/>
      <name val="Arial"/>
      <family val="2"/>
    </font>
    <font>
      <sz val="14"/>
      <color theme="1"/>
      <name val="Arial"/>
      <family val="2"/>
    </font>
    <font>
      <sz val="12"/>
      <color theme="1"/>
      <name val="Aptos Narrow"/>
      <family val="2"/>
      <scheme val="minor"/>
    </font>
    <font>
      <sz val="12"/>
      <color theme="1"/>
      <name val="Arial"/>
      <family val="2"/>
    </font>
    <font>
      <sz val="12"/>
      <name val="Arial"/>
      <family val="2"/>
    </font>
    <font>
      <sz val="11"/>
      <name val="Arial"/>
      <family val="2"/>
    </font>
    <font>
      <sz val="12"/>
      <color rgb="FFFF0000"/>
      <name val="Arial"/>
      <family val="2"/>
    </font>
    <font>
      <b/>
      <sz val="11"/>
      <name val="Arial"/>
      <family val="2"/>
    </font>
    <font>
      <b/>
      <sz val="12"/>
      <color theme="1"/>
      <name val="Arial"/>
      <family val="2"/>
    </font>
    <font>
      <b/>
      <u/>
      <sz val="14"/>
      <color indexed="9"/>
      <name val="Arial"/>
      <family val="2"/>
    </font>
    <font>
      <b/>
      <sz val="14"/>
      <name val="Arial"/>
      <family val="2"/>
    </font>
    <font>
      <b/>
      <sz val="14"/>
      <color theme="1"/>
      <name val="Arial"/>
      <family val="2"/>
    </font>
    <font>
      <b/>
      <sz val="12"/>
      <color rgb="FFFF0000"/>
      <name val="Aptos Narrow"/>
      <family val="2"/>
      <scheme val="minor"/>
    </font>
  </fonts>
  <fills count="12">
    <fill>
      <patternFill patternType="none"/>
    </fill>
    <fill>
      <patternFill patternType="gray125"/>
    </fill>
    <fill>
      <patternFill patternType="solid">
        <fgColor rgb="FFFFD13F"/>
        <bgColor indexed="64"/>
      </patternFill>
    </fill>
    <fill>
      <patternFill patternType="solid">
        <fgColor rgb="FFFABE00"/>
        <bgColor indexed="64"/>
      </patternFill>
    </fill>
    <fill>
      <patternFill patternType="solid">
        <fgColor rgb="FF009656"/>
        <bgColor indexed="64"/>
      </patternFill>
    </fill>
    <fill>
      <patternFill patternType="solid">
        <fgColor rgb="FF009656"/>
        <bgColor rgb="FF009656"/>
      </patternFill>
    </fill>
    <fill>
      <patternFill patternType="solid">
        <fgColor rgb="FF78A751"/>
        <bgColor indexed="64"/>
      </patternFill>
    </fill>
    <fill>
      <patternFill patternType="solid">
        <fgColor indexed="9"/>
        <bgColor indexed="64"/>
      </patternFill>
    </fill>
    <fill>
      <patternFill patternType="solid">
        <fgColor rgb="FFBFCF51"/>
        <bgColor indexed="64"/>
      </patternFill>
    </fill>
    <fill>
      <patternFill patternType="solid">
        <fgColor rgb="FFBFCF51"/>
        <bgColor rgb="FFBFCF51"/>
      </patternFill>
    </fill>
    <fill>
      <patternFill patternType="solid">
        <fgColor theme="9" tint="0.79998168889431442"/>
        <bgColor indexed="64"/>
      </patternFill>
    </fill>
    <fill>
      <patternFill patternType="solid">
        <fgColor theme="0"/>
        <bgColor indexed="64"/>
      </patternFill>
    </fill>
  </fills>
  <borders count="60">
    <border>
      <left/>
      <right/>
      <top/>
      <bottom/>
      <diagonal/>
    </border>
    <border>
      <left/>
      <right/>
      <top style="medium">
        <color rgb="FFFFC000"/>
      </top>
      <bottom/>
      <diagonal/>
    </border>
    <border>
      <left style="medium">
        <color rgb="FFFABE00"/>
      </left>
      <right style="medium">
        <color rgb="FFFABE00"/>
      </right>
      <top/>
      <bottom/>
      <diagonal/>
    </border>
    <border>
      <left style="medium">
        <color rgb="FFFABE00"/>
      </left>
      <right style="medium">
        <color rgb="FFFABE00"/>
      </right>
      <top/>
      <bottom style="medium">
        <color rgb="FFFABE00"/>
      </bottom>
      <diagonal/>
    </border>
    <border>
      <left style="medium">
        <color rgb="FF009656"/>
      </left>
      <right/>
      <top style="medium">
        <color rgb="FF009656"/>
      </top>
      <bottom/>
      <diagonal/>
    </border>
    <border>
      <left/>
      <right style="medium">
        <color rgb="FF009656"/>
      </right>
      <top style="medium">
        <color rgb="FF009656"/>
      </top>
      <bottom/>
      <diagonal/>
    </border>
    <border>
      <left style="medium">
        <color rgb="FF009656"/>
      </left>
      <right/>
      <top/>
      <bottom/>
      <diagonal/>
    </border>
    <border>
      <left/>
      <right style="medium">
        <color rgb="FF009656"/>
      </right>
      <top/>
      <bottom/>
      <diagonal/>
    </border>
    <border>
      <left style="medium">
        <color rgb="FF009656"/>
      </left>
      <right/>
      <top/>
      <bottom style="medium">
        <color rgb="FF009656"/>
      </bottom>
      <diagonal/>
    </border>
    <border>
      <left/>
      <right style="medium">
        <color rgb="FF009656"/>
      </right>
      <top/>
      <bottom style="medium">
        <color rgb="FF009656"/>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s>
  <cellStyleXfs count="6">
    <xf numFmtId="0" fontId="0" fillId="0" borderId="0"/>
    <xf numFmtId="0" fontId="5" fillId="0" borderId="0"/>
    <xf numFmtId="0" fontId="9" fillId="0" borderId="0" applyNumberFormat="0" applyFill="0" applyBorder="0" applyAlignment="0" applyProtection="0"/>
    <xf numFmtId="0" fontId="7" fillId="0" borderId="0"/>
    <xf numFmtId="9" fontId="7" fillId="0" borderId="0" applyFont="0" applyFill="0" applyBorder="0" applyAlignment="0" applyProtection="0"/>
    <xf numFmtId="0" fontId="7" fillId="0" borderId="0"/>
  </cellStyleXfs>
  <cellXfs count="309">
    <xf numFmtId="0" fontId="0" fillId="0" borderId="0" xfId="0"/>
    <xf numFmtId="0" fontId="1" fillId="2" borderId="1" xfId="0" applyFont="1" applyFill="1" applyBorder="1" applyAlignment="1">
      <alignment horizontal="center" wrapText="1"/>
    </xf>
    <xf numFmtId="0" fontId="0" fillId="4" borderId="0" xfId="0" applyFill="1"/>
    <xf numFmtId="0" fontId="0" fillId="5" borderId="0" xfId="0" applyFill="1"/>
    <xf numFmtId="0" fontId="10" fillId="5" borderId="0" xfId="0" applyFont="1" applyFill="1" applyAlignment="1">
      <alignment horizontal="right"/>
    </xf>
    <xf numFmtId="0" fontId="11" fillId="5" borderId="0" xfId="0" applyFont="1" applyFill="1" applyAlignment="1">
      <alignment horizontal="right"/>
    </xf>
    <xf numFmtId="0" fontId="12" fillId="4" borderId="0" xfId="0" applyFont="1" applyFill="1" applyAlignment="1">
      <alignment horizontal="right"/>
    </xf>
    <xf numFmtId="0" fontId="0" fillId="7" borderId="0" xfId="0" applyFill="1"/>
    <xf numFmtId="0" fontId="1" fillId="4" borderId="0" xfId="0" applyFont="1" applyFill="1"/>
    <xf numFmtId="0" fontId="10" fillId="4" borderId="0" xfId="0" applyFont="1" applyFill="1" applyAlignment="1">
      <alignment horizontal="right"/>
    </xf>
    <xf numFmtId="0" fontId="11" fillId="4" borderId="0" xfId="0" applyFont="1" applyFill="1" applyAlignment="1">
      <alignment horizontal="right"/>
    </xf>
    <xf numFmtId="0" fontId="8" fillId="8" borderId="15" xfId="0" applyFont="1" applyFill="1" applyBorder="1" applyAlignment="1">
      <alignment horizontal="center"/>
    </xf>
    <xf numFmtId="0" fontId="8" fillId="8" borderId="16" xfId="0" applyFont="1" applyFill="1" applyBorder="1" applyAlignment="1">
      <alignment horizontal="center"/>
    </xf>
    <xf numFmtId="0" fontId="8" fillId="8" borderId="17" xfId="0" applyFont="1" applyFill="1" applyBorder="1" applyAlignment="1">
      <alignment horizontal="center"/>
    </xf>
    <xf numFmtId="0" fontId="8" fillId="8" borderId="18" xfId="0" applyFont="1" applyFill="1" applyBorder="1" applyAlignment="1">
      <alignment horizontal="center"/>
    </xf>
    <xf numFmtId="164" fontId="15" fillId="6" borderId="23" xfId="0" applyNumberFormat="1" applyFont="1" applyFill="1" applyBorder="1" applyAlignment="1">
      <alignment horizontal="center" vertical="center"/>
    </xf>
    <xf numFmtId="164" fontId="15" fillId="6" borderId="25" xfId="0" applyNumberFormat="1" applyFont="1" applyFill="1" applyBorder="1" applyAlignment="1">
      <alignment horizontal="center" vertical="center"/>
    </xf>
    <xf numFmtId="0" fontId="17" fillId="0" borderId="0" xfId="0" applyFont="1"/>
    <xf numFmtId="0" fontId="0" fillId="4" borderId="0" xfId="0" applyFill="1" applyAlignment="1">
      <alignment horizontal="center"/>
    </xf>
    <xf numFmtId="0" fontId="10" fillId="5" borderId="0" xfId="0" applyFont="1" applyFill="1" applyAlignment="1">
      <alignment horizontal="center"/>
    </xf>
    <xf numFmtId="0" fontId="11" fillId="5" borderId="0" xfId="0" applyFont="1" applyFill="1" applyAlignment="1">
      <alignment horizontal="center"/>
    </xf>
    <xf numFmtId="0" fontId="6" fillId="5" borderId="0" xfId="0" applyFont="1" applyFill="1" applyAlignment="1">
      <alignment horizontal="center"/>
    </xf>
    <xf numFmtId="0" fontId="14" fillId="7" borderId="0" xfId="2" applyFont="1" applyFill="1" applyBorder="1" applyAlignment="1" applyProtection="1">
      <alignment horizontal="right"/>
    </xf>
    <xf numFmtId="0" fontId="13" fillId="6" borderId="10" xfId="0" applyFont="1" applyFill="1" applyBorder="1" applyAlignment="1">
      <alignment horizontal="left" vertical="center"/>
    </xf>
    <xf numFmtId="0" fontId="22" fillId="0" borderId="0" xfId="0" applyFont="1"/>
    <xf numFmtId="0" fontId="0" fillId="11" borderId="0" xfId="0" applyFill="1"/>
    <xf numFmtId="0" fontId="22" fillId="11" borderId="0" xfId="0" applyFont="1" applyFill="1"/>
    <xf numFmtId="0" fontId="22" fillId="11" borderId="0" xfId="0" applyFont="1" applyFill="1" applyAlignment="1">
      <alignment horizontal="right"/>
    </xf>
    <xf numFmtId="165" fontId="22" fillId="11" borderId="0" xfId="0" applyNumberFormat="1" applyFont="1" applyFill="1"/>
    <xf numFmtId="0" fontId="0" fillId="11" borderId="0" xfId="0" applyFill="1" applyAlignment="1">
      <alignment wrapText="1"/>
    </xf>
    <xf numFmtId="0" fontId="16" fillId="11" borderId="0" xfId="0" applyFont="1" applyFill="1" applyAlignment="1">
      <alignment wrapText="1"/>
    </xf>
    <xf numFmtId="0" fontId="7" fillId="11" borderId="0" xfId="0" applyFont="1" applyFill="1"/>
    <xf numFmtId="0" fontId="14" fillId="11" borderId="0" xfId="2" applyFont="1" applyFill="1" applyBorder="1" applyAlignment="1" applyProtection="1"/>
    <xf numFmtId="164" fontId="15" fillId="6" borderId="21" xfId="0" applyNumberFormat="1" applyFont="1" applyFill="1" applyBorder="1" applyAlignment="1">
      <alignment horizontal="center" vertical="center"/>
    </xf>
    <xf numFmtId="164" fontId="15" fillId="6" borderId="46" xfId="0" applyNumberFormat="1" applyFont="1" applyFill="1" applyBorder="1" applyAlignment="1">
      <alignment horizontal="center" vertical="center"/>
    </xf>
    <xf numFmtId="0" fontId="20" fillId="0" borderId="0" xfId="0" applyFont="1"/>
    <xf numFmtId="0" fontId="7" fillId="8" borderId="25" xfId="0" applyFont="1" applyFill="1" applyBorder="1"/>
    <xf numFmtId="0" fontId="7" fillId="8" borderId="48" xfId="0" applyFont="1" applyFill="1" applyBorder="1"/>
    <xf numFmtId="0" fontId="7" fillId="8" borderId="39" xfId="0" applyFont="1" applyFill="1" applyBorder="1"/>
    <xf numFmtId="10" fontId="0" fillId="0" borderId="0" xfId="0" applyNumberFormat="1"/>
    <xf numFmtId="0" fontId="18" fillId="11" borderId="0" xfId="0" applyFont="1" applyFill="1"/>
    <xf numFmtId="0" fontId="18" fillId="0" borderId="0" xfId="0" applyFont="1"/>
    <xf numFmtId="0" fontId="23" fillId="9" borderId="0" xfId="0" applyFont="1" applyFill="1" applyAlignment="1">
      <alignment horizontal="left" vertical="center" wrapText="1"/>
    </xf>
    <xf numFmtId="165" fontId="23" fillId="9" borderId="0" xfId="0" applyNumberFormat="1" applyFont="1" applyFill="1" applyAlignment="1">
      <alignment horizontal="right" vertical="center" wrapText="1"/>
    </xf>
    <xf numFmtId="0" fontId="23" fillId="9" borderId="0" xfId="0" applyFont="1" applyFill="1" applyAlignment="1">
      <alignment vertical="center" wrapText="1"/>
    </xf>
    <xf numFmtId="0" fontId="24" fillId="11" borderId="0" xfId="0" applyFont="1" applyFill="1"/>
    <xf numFmtId="0" fontId="24" fillId="0" borderId="0" xfId="0" applyFont="1"/>
    <xf numFmtId="0" fontId="23" fillId="9" borderId="0" xfId="0" applyFont="1" applyFill="1" applyAlignment="1">
      <alignment horizontal="right" vertical="center" wrapText="1"/>
    </xf>
    <xf numFmtId="0" fontId="7" fillId="9" borderId="22" xfId="0" applyFont="1" applyFill="1" applyBorder="1" applyAlignment="1">
      <alignment horizontal="left" vertical="center" wrapText="1"/>
    </xf>
    <xf numFmtId="0" fontId="7" fillId="9" borderId="26"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9" borderId="45" xfId="0" applyFont="1" applyFill="1" applyBorder="1" applyAlignment="1">
      <alignment horizontal="left" vertical="center" wrapText="1"/>
    </xf>
    <xf numFmtId="0" fontId="7" fillId="0" borderId="54" xfId="0" applyFont="1" applyBorder="1" applyAlignment="1">
      <alignment horizontal="left" vertical="center" wrapText="1"/>
    </xf>
    <xf numFmtId="0" fontId="7" fillId="0" borderId="26" xfId="0" applyFont="1" applyBorder="1" applyAlignment="1">
      <alignment horizontal="left" vertical="center" wrapText="1"/>
    </xf>
    <xf numFmtId="0" fontId="26" fillId="0" borderId="43" xfId="0" applyFont="1" applyBorder="1" applyAlignment="1" applyProtection="1">
      <alignment horizontal="center" vertical="center" wrapText="1"/>
      <protection locked="0"/>
    </xf>
    <xf numFmtId="0" fontId="7" fillId="0" borderId="45" xfId="0" applyFont="1" applyBorder="1" applyAlignment="1">
      <alignment horizontal="left" vertical="center" wrapText="1"/>
    </xf>
    <xf numFmtId="0" fontId="26" fillId="11" borderId="21" xfId="0" applyFont="1" applyFill="1" applyBorder="1" applyAlignment="1">
      <alignment vertical="center"/>
    </xf>
    <xf numFmtId="0" fontId="7" fillId="0" borderId="40" xfId="0" applyFont="1" applyBorder="1" applyAlignment="1">
      <alignment vertical="center" wrapText="1"/>
    </xf>
    <xf numFmtId="0" fontId="7" fillId="0" borderId="34" xfId="0" applyFont="1" applyBorder="1" applyAlignment="1">
      <alignment vertical="center" wrapText="1"/>
    </xf>
    <xf numFmtId="0" fontId="7" fillId="0" borderId="41" xfId="0" applyFont="1" applyBorder="1" applyAlignment="1">
      <alignment vertical="center" wrapText="1"/>
    </xf>
    <xf numFmtId="0" fontId="28" fillId="7" borderId="29" xfId="3" applyFont="1" applyFill="1" applyBorder="1" applyAlignment="1" applyProtection="1">
      <alignment horizontal="left" vertical="center" wrapText="1"/>
      <protection locked="0"/>
    </xf>
    <xf numFmtId="0" fontId="26" fillId="0" borderId="30" xfId="0" applyFont="1" applyBorder="1" applyAlignment="1" applyProtection="1">
      <alignment horizontal="center" vertical="center" wrapText="1"/>
      <protection locked="0"/>
    </xf>
    <xf numFmtId="0" fontId="28" fillId="7" borderId="32" xfId="3" applyFont="1" applyFill="1" applyBorder="1" applyAlignment="1" applyProtection="1">
      <alignment horizontal="left" vertical="center" wrapText="1"/>
      <protection locked="0"/>
    </xf>
    <xf numFmtId="0" fontId="26" fillId="0" borderId="24" xfId="0" applyFont="1" applyBorder="1" applyAlignment="1" applyProtection="1">
      <alignment horizontal="center" vertical="center" wrapText="1"/>
      <protection locked="0"/>
    </xf>
    <xf numFmtId="0" fontId="28" fillId="0" borderId="32" xfId="0" applyFont="1" applyBorder="1" applyAlignment="1" applyProtection="1">
      <alignment horizontal="left" vertical="center" wrapText="1"/>
      <protection locked="0"/>
    </xf>
    <xf numFmtId="0" fontId="28" fillId="11" borderId="32" xfId="0" applyFont="1" applyFill="1" applyBorder="1" applyAlignment="1" applyProtection="1">
      <alignment horizontal="left" vertical="center" wrapText="1"/>
      <protection locked="0"/>
    </xf>
    <xf numFmtId="0" fontId="26" fillId="0" borderId="32" xfId="0" applyFont="1" applyBorder="1" applyAlignment="1" applyProtection="1">
      <alignment horizontal="left" vertical="center" wrapText="1"/>
      <protection locked="0"/>
    </xf>
    <xf numFmtId="0" fontId="26" fillId="11" borderId="32" xfId="0" applyFont="1" applyFill="1" applyBorder="1" applyAlignment="1" applyProtection="1">
      <alignment horizontal="left" vertical="center" wrapText="1"/>
      <protection locked="0"/>
    </xf>
    <xf numFmtId="0" fontId="28" fillId="0" borderId="15" xfId="0" applyFont="1" applyBorder="1" applyAlignment="1" applyProtection="1">
      <alignment horizontal="left" vertical="center" wrapText="1"/>
      <protection locked="0"/>
    </xf>
    <xf numFmtId="0" fontId="26" fillId="0" borderId="17" xfId="0" applyFont="1" applyBorder="1" applyAlignment="1" applyProtection="1">
      <alignment horizontal="center" vertical="center" wrapText="1"/>
      <protection locked="0"/>
    </xf>
    <xf numFmtId="0" fontId="0" fillId="11" borderId="23" xfId="0" applyFill="1" applyBorder="1"/>
    <xf numFmtId="0" fontId="26" fillId="11" borderId="36" xfId="0" applyFont="1" applyFill="1" applyBorder="1" applyAlignment="1">
      <alignment horizontal="center" vertical="center"/>
    </xf>
    <xf numFmtId="0" fontId="29" fillId="11" borderId="23" xfId="0" applyFont="1" applyFill="1" applyBorder="1" applyAlignment="1">
      <alignment vertical="center" wrapText="1"/>
    </xf>
    <xf numFmtId="0" fontId="26" fillId="11" borderId="25" xfId="0" applyFont="1" applyFill="1" applyBorder="1" applyAlignment="1">
      <alignment vertical="center" wrapText="1"/>
    </xf>
    <xf numFmtId="0" fontId="26" fillId="11" borderId="47" xfId="0" applyFont="1" applyFill="1" applyBorder="1" applyAlignment="1">
      <alignment horizontal="center" vertical="center"/>
    </xf>
    <xf numFmtId="0" fontId="29" fillId="11" borderId="0" xfId="0" applyFont="1" applyFill="1" applyAlignment="1">
      <alignment vertical="center" wrapText="1"/>
    </xf>
    <xf numFmtId="0" fontId="26" fillId="11" borderId="48" xfId="0" applyFont="1" applyFill="1" applyBorder="1" applyAlignment="1">
      <alignment vertical="center" wrapText="1"/>
    </xf>
    <xf numFmtId="0" fontId="26" fillId="11" borderId="37" xfId="0" applyFont="1" applyFill="1" applyBorder="1" applyAlignment="1">
      <alignment horizontal="center" vertical="center"/>
    </xf>
    <xf numFmtId="0" fontId="29" fillId="11" borderId="38" xfId="0" applyFont="1" applyFill="1" applyBorder="1" applyAlignment="1">
      <alignment vertical="center" wrapText="1"/>
    </xf>
    <xf numFmtId="0" fontId="26" fillId="11" borderId="39" xfId="0" applyFont="1" applyFill="1" applyBorder="1" applyAlignment="1">
      <alignment vertical="center" wrapText="1"/>
    </xf>
    <xf numFmtId="0" fontId="26" fillId="0" borderId="56" xfId="0" applyFont="1" applyBorder="1" applyAlignment="1" applyProtection="1">
      <alignment horizontal="center" vertical="center" wrapText="1"/>
      <protection locked="0"/>
    </xf>
    <xf numFmtId="0" fontId="26" fillId="0" borderId="55" xfId="0" applyFont="1" applyBorder="1" applyAlignment="1" applyProtection="1">
      <alignment horizontal="center" vertical="center" wrapText="1"/>
      <protection locked="0"/>
    </xf>
    <xf numFmtId="0" fontId="13" fillId="6" borderId="36" xfId="0" applyFont="1" applyFill="1" applyBorder="1" applyAlignment="1">
      <alignment horizontal="center" vertical="center"/>
    </xf>
    <xf numFmtId="0" fontId="13" fillId="6" borderId="23" xfId="0" applyFont="1" applyFill="1" applyBorder="1"/>
    <xf numFmtId="0" fontId="13" fillId="6" borderId="25" xfId="0" applyFont="1" applyFill="1" applyBorder="1" applyAlignment="1">
      <alignment horizontal="left" vertical="center"/>
    </xf>
    <xf numFmtId="0" fontId="13" fillId="6" borderId="20" xfId="0" applyFont="1" applyFill="1" applyBorder="1" applyAlignment="1">
      <alignment horizontal="left" vertical="center"/>
    </xf>
    <xf numFmtId="0" fontId="13" fillId="6" borderId="46" xfId="0" applyFont="1" applyFill="1" applyBorder="1" applyAlignment="1">
      <alignment horizontal="left" vertical="center"/>
    </xf>
    <xf numFmtId="0" fontId="13" fillId="6" borderId="21" xfId="0" applyFont="1" applyFill="1" applyBorder="1" applyAlignment="1">
      <alignment horizontal="left" vertical="center"/>
    </xf>
    <xf numFmtId="0" fontId="7" fillId="9" borderId="27" xfId="0" applyFont="1" applyFill="1" applyBorder="1" applyAlignment="1">
      <alignment horizontal="left" vertical="center" wrapText="1"/>
    </xf>
    <xf numFmtId="0" fontId="7" fillId="0" borderId="22" xfId="0" applyFont="1" applyBorder="1" applyAlignment="1">
      <alignment vertical="center" wrapText="1"/>
    </xf>
    <xf numFmtId="0" fontId="7" fillId="7" borderId="51" xfId="3" applyFill="1" applyBorder="1" applyAlignment="1" applyProtection="1">
      <alignment horizontal="left" vertical="center" wrapText="1"/>
      <protection locked="0"/>
    </xf>
    <xf numFmtId="0" fontId="26" fillId="0" borderId="49" xfId="0" applyFont="1" applyBorder="1" applyAlignment="1" applyProtection="1">
      <alignment horizontal="center" vertical="center" wrapText="1"/>
      <protection locked="0"/>
    </xf>
    <xf numFmtId="0" fontId="7" fillId="3" borderId="27" xfId="0" applyFont="1" applyFill="1" applyBorder="1" applyAlignment="1">
      <alignment horizontal="left" vertical="center" wrapText="1"/>
    </xf>
    <xf numFmtId="0" fontId="7" fillId="0" borderId="26" xfId="0" applyFont="1" applyBorder="1" applyAlignment="1">
      <alignment vertical="center" wrapText="1"/>
    </xf>
    <xf numFmtId="0" fontId="28" fillId="0" borderId="44" xfId="0" applyFont="1" applyBorder="1" applyAlignment="1" applyProtection="1">
      <alignment horizontal="left" vertical="center" wrapText="1"/>
      <protection locked="0"/>
    </xf>
    <xf numFmtId="0" fontId="28" fillId="7" borderId="44" xfId="3" applyFont="1" applyFill="1" applyBorder="1" applyAlignment="1" applyProtection="1">
      <alignment horizontal="left" vertical="center" wrapText="1"/>
      <protection locked="0"/>
    </xf>
    <xf numFmtId="0" fontId="7" fillId="9" borderId="28" xfId="0" applyFont="1" applyFill="1" applyBorder="1" applyAlignment="1">
      <alignment horizontal="left" vertical="center" wrapText="1"/>
    </xf>
    <xf numFmtId="0" fontId="7" fillId="0" borderId="45" xfId="0" applyFont="1" applyBorder="1" applyAlignment="1">
      <alignment vertical="center" wrapText="1"/>
    </xf>
    <xf numFmtId="0" fontId="28" fillId="0" borderId="16" xfId="0" applyFont="1" applyBorder="1" applyAlignment="1" applyProtection="1">
      <alignment horizontal="left" vertical="center" wrapText="1"/>
      <protection locked="0"/>
    </xf>
    <xf numFmtId="0" fontId="26" fillId="11" borderId="46" xfId="0" applyFont="1" applyFill="1" applyBorder="1" applyAlignment="1">
      <alignment vertical="center"/>
    </xf>
    <xf numFmtId="0" fontId="26" fillId="11" borderId="48" xfId="0" applyFont="1" applyFill="1" applyBorder="1"/>
    <xf numFmtId="0" fontId="13" fillId="11" borderId="47" xfId="0" applyFont="1" applyFill="1" applyBorder="1" applyAlignment="1">
      <alignment vertical="center"/>
    </xf>
    <xf numFmtId="0" fontId="26" fillId="11" borderId="0" xfId="0" applyFont="1" applyFill="1" applyAlignment="1">
      <alignment vertical="center"/>
    </xf>
    <xf numFmtId="0" fontId="13" fillId="11" borderId="48" xfId="0" applyFont="1" applyFill="1" applyBorder="1" applyAlignment="1">
      <alignment horizontal="center" vertical="center"/>
    </xf>
    <xf numFmtId="0" fontId="19" fillId="11" borderId="0" xfId="0" applyFont="1" applyFill="1" applyAlignment="1">
      <alignment vertical="center" wrapText="1"/>
    </xf>
    <xf numFmtId="0" fontId="7" fillId="11" borderId="48" xfId="0" applyFont="1" applyFill="1" applyBorder="1"/>
    <xf numFmtId="0" fontId="7" fillId="11" borderId="39" xfId="0" applyFont="1" applyFill="1" applyBorder="1"/>
    <xf numFmtId="0" fontId="8" fillId="8" borderId="55" xfId="0" applyFont="1" applyFill="1" applyBorder="1" applyAlignment="1">
      <alignment horizontal="center"/>
    </xf>
    <xf numFmtId="0" fontId="26" fillId="0" borderId="57" xfId="0" applyFont="1" applyBorder="1" applyAlignment="1" applyProtection="1">
      <alignment horizontal="center" vertical="center" wrapText="1"/>
      <protection locked="0"/>
    </xf>
    <xf numFmtId="0" fontId="13" fillId="6" borderId="21" xfId="0" applyFont="1" applyFill="1" applyBorder="1"/>
    <xf numFmtId="0" fontId="30" fillId="4" borderId="0" xfId="0" applyFont="1" applyFill="1"/>
    <xf numFmtId="0" fontId="30" fillId="4" borderId="0" xfId="0" applyFont="1" applyFill="1" applyAlignment="1">
      <alignment horizontal="center"/>
    </xf>
    <xf numFmtId="0" fontId="30" fillId="5" borderId="0" xfId="0" applyFont="1" applyFill="1"/>
    <xf numFmtId="0" fontId="30" fillId="5" borderId="0" xfId="0" applyFont="1" applyFill="1" applyAlignment="1">
      <alignment horizontal="center"/>
    </xf>
    <xf numFmtId="0" fontId="7" fillId="9" borderId="11" xfId="0" applyFont="1" applyFill="1" applyBorder="1" applyAlignment="1">
      <alignment horizontal="left" vertical="center" wrapText="1"/>
    </xf>
    <xf numFmtId="0" fontId="28" fillId="7" borderId="53" xfId="3" applyFont="1" applyFill="1" applyBorder="1" applyAlignment="1" applyProtection="1">
      <alignment horizontal="left" vertical="center" wrapText="1"/>
      <protection locked="0"/>
    </xf>
    <xf numFmtId="0" fontId="26" fillId="0" borderId="53" xfId="0" applyFont="1" applyBorder="1" applyAlignment="1" applyProtection="1">
      <alignment horizontal="center" vertical="center"/>
      <protection locked="0"/>
    </xf>
    <xf numFmtId="0" fontId="26" fillId="0" borderId="30"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6" fillId="0" borderId="24" xfId="0"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6" fillId="0" borderId="44" xfId="0" applyFont="1" applyBorder="1" applyAlignment="1" applyProtection="1">
      <alignment horizontal="left" vertical="center" wrapText="1"/>
      <protection locked="0"/>
    </xf>
    <xf numFmtId="0" fontId="7" fillId="3" borderId="28" xfId="0" applyFont="1" applyFill="1" applyBorder="1" applyAlignment="1">
      <alignment horizontal="left" vertical="center" wrapText="1"/>
    </xf>
    <xf numFmtId="0" fontId="7" fillId="9" borderId="19" xfId="0" applyFont="1" applyFill="1" applyBorder="1" applyAlignment="1">
      <alignment horizontal="left" vertical="center" textRotation="90" wrapText="1"/>
    </xf>
    <xf numFmtId="0" fontId="7" fillId="0" borderId="22" xfId="0" applyFont="1" applyBorder="1" applyAlignment="1">
      <alignment horizontal="left" vertical="center" wrapText="1"/>
    </xf>
    <xf numFmtId="0" fontId="7" fillId="7" borderId="26" xfId="0" applyFont="1" applyFill="1" applyBorder="1" applyAlignment="1">
      <alignment horizontal="left" vertical="center" wrapText="1"/>
    </xf>
    <xf numFmtId="0" fontId="13" fillId="6" borderId="46" xfId="0" applyFont="1" applyFill="1" applyBorder="1" applyAlignment="1">
      <alignment horizontal="left"/>
    </xf>
    <xf numFmtId="0" fontId="19" fillId="11" borderId="23" xfId="0" applyFont="1" applyFill="1" applyBorder="1" applyAlignment="1">
      <alignment horizontal="left" vertical="center" wrapText="1"/>
    </xf>
    <xf numFmtId="0" fontId="26" fillId="11" borderId="25" xfId="0" applyFont="1" applyFill="1" applyBorder="1" applyAlignment="1">
      <alignment horizontal="left" vertical="center" wrapText="1"/>
    </xf>
    <xf numFmtId="0" fontId="19" fillId="11" borderId="0" xfId="0" applyFont="1" applyFill="1" applyAlignment="1">
      <alignment horizontal="left" vertical="center" wrapText="1"/>
    </xf>
    <xf numFmtId="0" fontId="26" fillId="11" borderId="48" xfId="0" applyFont="1" applyFill="1" applyBorder="1" applyAlignment="1">
      <alignment horizontal="left" vertical="center" wrapText="1"/>
    </xf>
    <xf numFmtId="0" fontId="19" fillId="11" borderId="38" xfId="0" applyFont="1" applyFill="1" applyBorder="1" applyAlignment="1">
      <alignment horizontal="left" vertical="center" wrapText="1"/>
    </xf>
    <xf numFmtId="0" fontId="26" fillId="11" borderId="39" xfId="0" applyFont="1" applyFill="1" applyBorder="1" applyAlignment="1">
      <alignment horizontal="left" vertical="center"/>
    </xf>
    <xf numFmtId="0" fontId="8" fillId="9" borderId="23" xfId="0" applyFont="1" applyFill="1" applyBorder="1" applyAlignment="1">
      <alignment horizontal="left" vertical="center" wrapText="1"/>
    </xf>
    <xf numFmtId="0" fontId="8" fillId="9" borderId="25" xfId="0" applyFont="1" applyFill="1" applyBorder="1" applyAlignment="1">
      <alignment horizontal="left" vertical="center" wrapText="1"/>
    </xf>
    <xf numFmtId="0" fontId="26" fillId="11" borderId="0" xfId="0" applyFont="1" applyFill="1" applyAlignment="1">
      <alignment horizontal="center" vertical="center"/>
    </xf>
    <xf numFmtId="0" fontId="28" fillId="0" borderId="0" xfId="0" applyFont="1" applyAlignment="1" applyProtection="1">
      <alignment horizontal="left" vertical="center" wrapText="1"/>
      <protection locked="0"/>
    </xf>
    <xf numFmtId="0" fontId="26" fillId="0" borderId="17"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6" fillId="11" borderId="38" xfId="0" applyFont="1" applyFill="1" applyBorder="1" applyAlignment="1">
      <alignment horizontal="center" vertical="center"/>
    </xf>
    <xf numFmtId="0" fontId="26" fillId="11" borderId="39" xfId="0" applyFont="1" applyFill="1" applyBorder="1" applyAlignment="1">
      <alignment horizontal="left" vertical="center" wrapText="1"/>
    </xf>
    <xf numFmtId="0" fontId="8" fillId="9" borderId="36" xfId="0" applyFont="1" applyFill="1" applyBorder="1" applyAlignment="1">
      <alignment horizontal="left" vertical="center" wrapText="1"/>
    </xf>
    <xf numFmtId="0" fontId="8" fillId="9" borderId="37" xfId="0" applyFont="1" applyFill="1" applyBorder="1" applyAlignment="1">
      <alignment horizontal="left" vertical="center" wrapText="1"/>
    </xf>
    <xf numFmtId="0" fontId="8" fillId="9" borderId="38" xfId="0" applyFont="1" applyFill="1" applyBorder="1" applyAlignment="1">
      <alignment horizontal="left" vertical="center" wrapText="1"/>
    </xf>
    <xf numFmtId="0" fontId="8" fillId="9" borderId="39" xfId="0" applyFont="1" applyFill="1" applyBorder="1" applyAlignment="1">
      <alignment horizontal="left" vertical="center" wrapText="1"/>
    </xf>
    <xf numFmtId="0" fontId="28" fillId="0" borderId="51" xfId="0" applyFont="1" applyBorder="1" applyAlignment="1" applyProtection="1">
      <alignment horizontal="left" vertical="center" wrapText="1"/>
      <protection locked="0"/>
    </xf>
    <xf numFmtId="0" fontId="26" fillId="0" borderId="49" xfId="0" applyFont="1" applyBorder="1" applyAlignment="1" applyProtection="1">
      <alignment horizontal="center" vertical="center"/>
      <protection locked="0"/>
    </xf>
    <xf numFmtId="0" fontId="26" fillId="0" borderId="50" xfId="0" applyFont="1" applyBorder="1" applyAlignment="1" applyProtection="1">
      <alignment horizontal="center" vertical="center"/>
      <protection locked="0"/>
    </xf>
    <xf numFmtId="0" fontId="26" fillId="0" borderId="16" xfId="0" applyFont="1" applyBorder="1" applyAlignment="1" applyProtection="1">
      <alignment horizontal="left" vertical="center" wrapText="1"/>
      <protection locked="0"/>
    </xf>
    <xf numFmtId="0" fontId="7" fillId="0" borderId="13" xfId="0" applyFont="1" applyBorder="1" applyAlignment="1">
      <alignment horizontal="left" vertical="center" wrapText="1"/>
    </xf>
    <xf numFmtId="0" fontId="7" fillId="0" borderId="35" xfId="0" applyFont="1" applyBorder="1" applyAlignment="1">
      <alignment horizontal="left" vertical="center" wrapText="1"/>
    </xf>
    <xf numFmtId="0" fontId="7" fillId="7" borderId="35" xfId="0" applyFont="1" applyFill="1" applyBorder="1" applyAlignment="1">
      <alignment horizontal="left" vertical="center" wrapText="1"/>
    </xf>
    <xf numFmtId="0" fontId="7" fillId="0" borderId="42" xfId="0" applyFont="1" applyBorder="1" applyAlignment="1">
      <alignment horizontal="left" vertical="center" wrapText="1"/>
    </xf>
    <xf numFmtId="0" fontId="13" fillId="6" borderId="0" xfId="0" applyFont="1" applyFill="1" applyAlignment="1">
      <alignment horizontal="left" vertical="center"/>
    </xf>
    <xf numFmtId="0" fontId="13" fillId="6" borderId="0" xfId="0" applyFont="1" applyFill="1"/>
    <xf numFmtId="0" fontId="31" fillId="0" borderId="51" xfId="0" applyFont="1" applyBorder="1" applyAlignment="1" applyProtection="1">
      <alignment horizontal="left" vertical="center" wrapText="1"/>
      <protection locked="0"/>
    </xf>
    <xf numFmtId="0" fontId="7" fillId="3" borderId="45" xfId="0" applyFont="1" applyFill="1" applyBorder="1" applyAlignment="1">
      <alignment horizontal="left" vertical="center" wrapText="1"/>
    </xf>
    <xf numFmtId="0" fontId="7" fillId="0" borderId="58" xfId="0" applyFont="1" applyBorder="1" applyAlignment="1">
      <alignment horizontal="left" vertical="center" wrapText="1"/>
    </xf>
    <xf numFmtId="0" fontId="34" fillId="11" borderId="0" xfId="0" applyFont="1" applyFill="1"/>
    <xf numFmtId="0" fontId="35" fillId="0" borderId="2" xfId="1" applyFont="1" applyBorder="1" applyAlignment="1">
      <alignment vertical="top" wrapText="1"/>
    </xf>
    <xf numFmtId="0" fontId="35" fillId="0" borderId="3" xfId="1" applyFont="1" applyBorder="1" applyAlignment="1">
      <alignment vertical="top" wrapText="1"/>
    </xf>
    <xf numFmtId="0" fontId="10" fillId="3" borderId="0" xfId="1" applyFont="1" applyFill="1" applyAlignment="1">
      <alignment wrapText="1"/>
    </xf>
    <xf numFmtId="0" fontId="23" fillId="7" borderId="0" xfId="0" applyFont="1" applyFill="1"/>
    <xf numFmtId="0" fontId="35" fillId="3" borderId="0" xfId="0" applyFont="1" applyFill="1" applyAlignment="1" applyProtection="1">
      <alignment horizontal="right"/>
      <protection locked="0"/>
    </xf>
    <xf numFmtId="14" fontId="35" fillId="7" borderId="0" xfId="0" applyNumberFormat="1" applyFont="1" applyFill="1" applyAlignment="1" applyProtection="1">
      <alignment horizontal="right"/>
      <protection locked="0"/>
    </xf>
    <xf numFmtId="0" fontId="35" fillId="7" borderId="0" xfId="0" applyFont="1" applyFill="1"/>
    <xf numFmtId="0" fontId="37" fillId="7" borderId="0" xfId="0" applyFont="1" applyFill="1" applyAlignment="1">
      <alignment horizontal="right"/>
    </xf>
    <xf numFmtId="0" fontId="33" fillId="7" borderId="0" xfId="0" applyFont="1" applyFill="1"/>
    <xf numFmtId="0" fontId="33" fillId="7" borderId="0" xfId="0" applyFont="1" applyFill="1" applyAlignment="1">
      <alignment horizontal="right"/>
    </xf>
    <xf numFmtId="0" fontId="23" fillId="7" borderId="0" xfId="0" applyFont="1" applyFill="1" applyAlignment="1">
      <alignment horizontal="right"/>
    </xf>
    <xf numFmtId="0" fontId="35" fillId="7" borderId="0" xfId="0" applyFont="1" applyFill="1" applyAlignment="1">
      <alignment horizontal="right"/>
    </xf>
    <xf numFmtId="0" fontId="23" fillId="7" borderId="0" xfId="0" applyFont="1" applyFill="1" applyAlignment="1">
      <alignment horizontal="left"/>
    </xf>
    <xf numFmtId="0" fontId="35" fillId="7" borderId="0" xfId="3" applyFont="1" applyFill="1" applyAlignment="1" applyProtection="1">
      <alignment horizontal="right"/>
      <protection locked="0"/>
    </xf>
    <xf numFmtId="0" fontId="35" fillId="7" borderId="0" xfId="3" applyFont="1" applyFill="1" applyAlignment="1">
      <alignment horizontal="right"/>
    </xf>
    <xf numFmtId="0" fontId="35" fillId="8" borderId="47" xfId="0" quotePrefix="1" applyFont="1" applyFill="1" applyBorder="1"/>
    <xf numFmtId="0" fontId="35" fillId="8" borderId="0" xfId="0" applyFont="1" applyFill="1"/>
    <xf numFmtId="0" fontId="35" fillId="8" borderId="47" xfId="0" applyFont="1" applyFill="1" applyBorder="1"/>
    <xf numFmtId="0" fontId="35" fillId="8" borderId="37" xfId="0" applyFont="1" applyFill="1" applyBorder="1"/>
    <xf numFmtId="0" fontId="35" fillId="8" borderId="38" xfId="0" applyFont="1" applyFill="1" applyBorder="1"/>
    <xf numFmtId="0" fontId="7" fillId="7" borderId="0" xfId="0" applyFont="1" applyFill="1"/>
    <xf numFmtId="0" fontId="7" fillId="7" borderId="0" xfId="0" applyFont="1" applyFill="1" applyAlignment="1">
      <alignment horizontal="right"/>
    </xf>
    <xf numFmtId="0" fontId="14" fillId="7" borderId="0" xfId="2" applyFont="1" applyFill="1" applyBorder="1" applyAlignment="1" applyProtection="1"/>
    <xf numFmtId="0" fontId="13" fillId="11" borderId="0" xfId="5" applyFont="1" applyFill="1"/>
    <xf numFmtId="0" fontId="34" fillId="0" borderId="0" xfId="0" applyFont="1"/>
    <xf numFmtId="0" fontId="13" fillId="6" borderId="0" xfId="5" applyFont="1" applyFill="1" applyAlignment="1">
      <alignment horizontal="center" vertical="center"/>
    </xf>
    <xf numFmtId="0" fontId="10" fillId="6" borderId="0" xfId="5" applyFont="1" applyFill="1" applyAlignment="1">
      <alignment vertical="center"/>
    </xf>
    <xf numFmtId="0" fontId="10" fillId="6" borderId="0" xfId="5" applyFont="1" applyFill="1" applyAlignment="1">
      <alignment horizontal="center" vertical="center"/>
    </xf>
    <xf numFmtId="0" fontId="10" fillId="6" borderId="0" xfId="0" applyFont="1" applyFill="1" applyAlignment="1">
      <alignment horizontal="left" vertical="center"/>
    </xf>
    <xf numFmtId="0" fontId="10" fillId="6" borderId="0" xfId="0" applyFont="1" applyFill="1" applyAlignment="1">
      <alignment vertical="center"/>
    </xf>
    <xf numFmtId="0" fontId="32" fillId="11" borderId="0" xfId="0" applyFont="1" applyFill="1"/>
    <xf numFmtId="0" fontId="41" fillId="11" borderId="0" xfId="0" applyFont="1" applyFill="1"/>
    <xf numFmtId="10" fontId="32" fillId="11" borderId="0" xfId="0" applyNumberFormat="1" applyFont="1" applyFill="1" applyAlignment="1">
      <alignment horizontal="center" vertical="center"/>
    </xf>
    <xf numFmtId="10" fontId="42" fillId="0" borderId="0" xfId="0" applyNumberFormat="1" applyFont="1" applyAlignment="1">
      <alignment horizontal="center" vertical="center"/>
    </xf>
    <xf numFmtId="10" fontId="42" fillId="11" borderId="0" xfId="0" applyNumberFormat="1" applyFont="1" applyFill="1" applyAlignment="1">
      <alignment horizontal="center" vertical="center"/>
    </xf>
    <xf numFmtId="0" fontId="34" fillId="3" borderId="0" xfId="0" applyFont="1" applyFill="1" applyAlignment="1" applyProtection="1">
      <alignment horizontal="right"/>
      <protection locked="0"/>
    </xf>
    <xf numFmtId="0" fontId="35" fillId="3" borderId="0" xfId="2" applyFont="1" applyFill="1" applyBorder="1" applyAlignment="1" applyProtection="1">
      <alignment horizontal="right"/>
      <protection locked="0"/>
    </xf>
    <xf numFmtId="10" fontId="22" fillId="0" borderId="0" xfId="0" applyNumberFormat="1" applyFont="1"/>
    <xf numFmtId="9" fontId="22" fillId="0" borderId="0" xfId="0" applyNumberFormat="1" applyFont="1"/>
    <xf numFmtId="49" fontId="22" fillId="11" borderId="0" xfId="0" applyNumberFormat="1" applyFont="1" applyFill="1"/>
    <xf numFmtId="165" fontId="23" fillId="3" borderId="19" xfId="0" applyNumberFormat="1" applyFont="1" applyFill="1" applyBorder="1" applyAlignment="1" applyProtection="1">
      <alignment horizontal="center" vertical="center" wrapText="1"/>
      <protection locked="0"/>
    </xf>
    <xf numFmtId="165" fontId="35" fillId="3" borderId="28" xfId="0" applyNumberFormat="1" applyFont="1" applyFill="1" applyBorder="1" applyAlignment="1" applyProtection="1">
      <alignment horizontal="center" vertical="center" wrapText="1"/>
      <protection locked="0"/>
    </xf>
    <xf numFmtId="165" fontId="35" fillId="3" borderId="45" xfId="0" applyNumberFormat="1" applyFont="1" applyFill="1" applyBorder="1" applyAlignment="1" applyProtection="1">
      <alignment horizontal="center" vertical="center" wrapText="1"/>
      <protection locked="0"/>
    </xf>
    <xf numFmtId="0" fontId="39" fillId="11" borderId="0" xfId="0" applyFont="1" applyFill="1" applyAlignment="1">
      <alignment horizontal="center"/>
    </xf>
    <xf numFmtId="0" fontId="34" fillId="0" borderId="0" xfId="0" applyFont="1" applyProtection="1">
      <protection locked="0"/>
    </xf>
    <xf numFmtId="0" fontId="0" fillId="0" borderId="0" xfId="0" applyProtection="1">
      <protection locked="0"/>
    </xf>
    <xf numFmtId="2" fontId="35" fillId="3" borderId="41" xfId="0" applyNumberFormat="1" applyFont="1" applyFill="1" applyBorder="1" applyAlignment="1" applyProtection="1">
      <alignment horizontal="center" vertical="center" wrapText="1"/>
      <protection locked="0"/>
    </xf>
    <xf numFmtId="0" fontId="19" fillId="11" borderId="38" xfId="0" applyFont="1" applyFill="1" applyBorder="1" applyAlignment="1">
      <alignment vertical="center" wrapText="1"/>
    </xf>
    <xf numFmtId="0" fontId="33" fillId="11" borderId="0" xfId="0" applyFont="1" applyFill="1" applyAlignment="1">
      <alignment horizontal="left" vertical="center"/>
    </xf>
    <xf numFmtId="0" fontId="34" fillId="10" borderId="32" xfId="0" applyFont="1" applyFill="1" applyBorder="1" applyAlignment="1">
      <alignment horizontal="left" vertical="center"/>
    </xf>
    <xf numFmtId="0" fontId="34" fillId="10" borderId="43" xfId="0" applyFont="1" applyFill="1" applyBorder="1" applyAlignment="1">
      <alignment vertical="center"/>
    </xf>
    <xf numFmtId="0" fontId="34" fillId="10" borderId="34" xfId="0" applyFont="1" applyFill="1" applyBorder="1" applyAlignment="1">
      <alignment vertical="center"/>
    </xf>
    <xf numFmtId="0" fontId="34" fillId="10" borderId="35" xfId="0" applyFont="1" applyFill="1" applyBorder="1" applyAlignment="1">
      <alignment vertical="center"/>
    </xf>
    <xf numFmtId="0" fontId="13" fillId="6" borderId="48" xfId="0" applyFont="1" applyFill="1" applyBorder="1" applyAlignment="1">
      <alignment horizontal="left" vertical="center"/>
    </xf>
    <xf numFmtId="0" fontId="23" fillId="8" borderId="36" xfId="0" applyFont="1" applyFill="1" applyBorder="1" applyAlignment="1">
      <alignment horizontal="center" vertical="center"/>
    </xf>
    <xf numFmtId="0" fontId="23" fillId="8" borderId="23" xfId="0" applyFont="1" applyFill="1" applyBorder="1" applyAlignment="1">
      <alignment horizontal="center" vertical="center"/>
    </xf>
    <xf numFmtId="0" fontId="23" fillId="8" borderId="25" xfId="0" applyFont="1" applyFill="1" applyBorder="1" applyAlignment="1">
      <alignment horizontal="center" vertical="center"/>
    </xf>
    <xf numFmtId="0" fontId="23" fillId="8" borderId="37" xfId="0" applyFont="1" applyFill="1" applyBorder="1" applyAlignment="1">
      <alignment horizontal="center" vertical="center"/>
    </xf>
    <xf numFmtId="0" fontId="23" fillId="8" borderId="38" xfId="0" applyFont="1" applyFill="1" applyBorder="1" applyAlignment="1">
      <alignment horizontal="center" vertical="center"/>
    </xf>
    <xf numFmtId="0" fontId="23" fillId="8" borderId="39" xfId="0" applyFont="1" applyFill="1" applyBorder="1" applyAlignment="1">
      <alignment horizontal="center" vertical="center"/>
    </xf>
    <xf numFmtId="0" fontId="34" fillId="10" borderId="32" xfId="0" applyFont="1" applyFill="1" applyBorder="1" applyAlignment="1">
      <alignment horizontal="left" vertical="center"/>
    </xf>
    <xf numFmtId="0" fontId="34" fillId="10" borderId="24" xfId="0" applyFont="1" applyFill="1" applyBorder="1" applyAlignment="1">
      <alignment horizontal="left" vertical="center"/>
    </xf>
    <xf numFmtId="0" fontId="34" fillId="10" borderId="33" xfId="0" applyFont="1" applyFill="1" applyBorder="1" applyAlignment="1">
      <alignment horizontal="left" vertical="center"/>
    </xf>
    <xf numFmtId="0" fontId="34" fillId="10" borderId="15" xfId="0" applyFont="1" applyFill="1" applyBorder="1" applyAlignment="1">
      <alignment horizontal="left" vertical="center"/>
    </xf>
    <xf numFmtId="0" fontId="34" fillId="10" borderId="17" xfId="0" applyFont="1" applyFill="1" applyBorder="1" applyAlignment="1">
      <alignment horizontal="left" vertical="center"/>
    </xf>
    <xf numFmtId="0" fontId="34" fillId="10" borderId="18" xfId="0" applyFont="1" applyFill="1" applyBorder="1" applyAlignment="1">
      <alignment horizontal="left" vertical="center"/>
    </xf>
    <xf numFmtId="0" fontId="34" fillId="10" borderId="59" xfId="0" applyFont="1" applyFill="1" applyBorder="1" applyAlignment="1">
      <alignment horizontal="left" vertical="center"/>
    </xf>
    <xf numFmtId="0" fontId="34" fillId="10" borderId="40" xfId="0" applyFont="1" applyFill="1" applyBorder="1" applyAlignment="1">
      <alignment horizontal="left" vertical="center"/>
    </xf>
    <xf numFmtId="0" fontId="34" fillId="10" borderId="58" xfId="0" applyFont="1" applyFill="1" applyBorder="1" applyAlignment="1">
      <alignment horizontal="left" vertical="center"/>
    </xf>
    <xf numFmtId="0" fontId="34" fillId="10" borderId="27" xfId="0" applyFont="1" applyFill="1" applyBorder="1" applyAlignment="1">
      <alignment horizontal="left" vertical="center"/>
    </xf>
    <xf numFmtId="0" fontId="34" fillId="10" borderId="34" xfId="0" applyFont="1" applyFill="1" applyBorder="1" applyAlignment="1">
      <alignment horizontal="left" vertical="center"/>
    </xf>
    <xf numFmtId="0" fontId="34" fillId="10" borderId="35" xfId="0" applyFont="1" applyFill="1" applyBorder="1" applyAlignment="1">
      <alignment horizontal="left" vertical="center"/>
    </xf>
    <xf numFmtId="0" fontId="12" fillId="5" borderId="0" xfId="0" applyFont="1" applyFill="1" applyAlignment="1">
      <alignment horizontal="center"/>
    </xf>
    <xf numFmtId="0" fontId="6" fillId="6" borderId="0" xfId="0" applyFont="1" applyFill="1" applyAlignment="1">
      <alignment horizontal="center"/>
    </xf>
    <xf numFmtId="0" fontId="34" fillId="10" borderId="29" xfId="0" applyFont="1" applyFill="1" applyBorder="1" applyAlignment="1">
      <alignment horizontal="left" vertical="center"/>
    </xf>
    <xf numFmtId="0" fontId="34" fillId="10" borderId="30" xfId="0" applyFont="1" applyFill="1" applyBorder="1" applyAlignment="1">
      <alignment horizontal="left" vertical="center"/>
    </xf>
    <xf numFmtId="0" fontId="34" fillId="10" borderId="31" xfId="0" applyFont="1" applyFill="1" applyBorder="1" applyAlignment="1">
      <alignment horizontal="left" vertical="center"/>
    </xf>
    <xf numFmtId="0" fontId="35" fillId="0" borderId="2" xfId="1" applyFont="1" applyBorder="1" applyAlignment="1">
      <alignment horizontal="left" vertical="top" wrapText="1"/>
    </xf>
    <xf numFmtId="0" fontId="6" fillId="6" borderId="0" xfId="0" applyFont="1" applyFill="1"/>
    <xf numFmtId="0" fontId="36" fillId="0" borderId="4" xfId="0" applyFont="1" applyBorder="1" applyAlignment="1">
      <alignment horizontal="left" vertical="top" wrapText="1"/>
    </xf>
    <xf numFmtId="0" fontId="36" fillId="0" borderId="5" xfId="0" applyFont="1" applyBorder="1" applyAlignment="1">
      <alignment horizontal="left" vertical="top" wrapText="1"/>
    </xf>
    <xf numFmtId="0" fontId="36" fillId="0" borderId="6" xfId="0" applyFont="1" applyBorder="1" applyAlignment="1">
      <alignment horizontal="left" vertical="top" wrapText="1"/>
    </xf>
    <xf numFmtId="0" fontId="36" fillId="0" borderId="7" xfId="0" applyFont="1" applyBorder="1" applyAlignment="1">
      <alignment horizontal="left" vertical="top" wrapText="1"/>
    </xf>
    <xf numFmtId="0" fontId="23" fillId="7" borderId="0" xfId="0" applyFont="1" applyFill="1" applyAlignment="1">
      <alignment horizontal="left"/>
    </xf>
    <xf numFmtId="0" fontId="38" fillId="11" borderId="4" xfId="0" applyFont="1" applyFill="1" applyBorder="1" applyAlignment="1">
      <alignment horizontal="center" vertical="center" wrapText="1"/>
    </xf>
    <xf numFmtId="0" fontId="38" fillId="11" borderId="5" xfId="0" applyFont="1" applyFill="1" applyBorder="1" applyAlignment="1">
      <alignment horizontal="center" vertical="center" wrapText="1"/>
    </xf>
    <xf numFmtId="0" fontId="38" fillId="11" borderId="8" xfId="0" applyFont="1" applyFill="1" applyBorder="1" applyAlignment="1">
      <alignment horizontal="center" vertical="center" wrapText="1"/>
    </xf>
    <xf numFmtId="0" fontId="38" fillId="11" borderId="9" xfId="0" applyFont="1" applyFill="1" applyBorder="1" applyAlignment="1">
      <alignment horizontal="center" vertical="center" wrapText="1"/>
    </xf>
    <xf numFmtId="0" fontId="33" fillId="11" borderId="0" xfId="0" applyFont="1" applyFill="1" applyAlignment="1">
      <alignment horizontal="left" vertical="center"/>
    </xf>
    <xf numFmtId="0" fontId="43" fillId="11" borderId="0" xfId="0" applyFont="1" applyFill="1" applyAlignment="1">
      <alignment horizontal="left"/>
    </xf>
    <xf numFmtId="0" fontId="8" fillId="8" borderId="36"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5" xfId="0" applyFont="1" applyFill="1" applyBorder="1" applyAlignment="1">
      <alignment horizontal="center" vertical="center"/>
    </xf>
    <xf numFmtId="0" fontId="8" fillId="8" borderId="37" xfId="0" applyFont="1" applyFill="1" applyBorder="1" applyAlignment="1">
      <alignment horizontal="center" vertical="center"/>
    </xf>
    <xf numFmtId="0" fontId="8" fillId="8" borderId="38" xfId="0" applyFont="1" applyFill="1" applyBorder="1" applyAlignment="1">
      <alignment horizontal="center" vertical="center"/>
    </xf>
    <xf numFmtId="0" fontId="8" fillId="8" borderId="39" xfId="0" applyFont="1" applyFill="1" applyBorder="1" applyAlignment="1">
      <alignment horizontal="center" vertical="center"/>
    </xf>
    <xf numFmtId="0" fontId="26" fillId="11" borderId="34" xfId="0" applyFont="1" applyFill="1" applyBorder="1" applyAlignment="1" applyProtection="1">
      <alignment horizontal="center" vertical="center" wrapText="1"/>
      <protection locked="0"/>
    </xf>
    <xf numFmtId="0" fontId="8" fillId="8" borderId="10"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1" xfId="0" applyFont="1" applyFill="1" applyBorder="1" applyAlignment="1">
      <alignment horizontal="center"/>
    </xf>
    <xf numFmtId="0" fontId="8" fillId="8" borderId="12" xfId="0" applyFont="1" applyFill="1" applyBorder="1" applyAlignment="1">
      <alignment horizontal="center"/>
    </xf>
    <xf numFmtId="0" fontId="8" fillId="8" borderId="13" xfId="0" applyFont="1" applyFill="1" applyBorder="1" applyAlignment="1">
      <alignment horizontal="center"/>
    </xf>
    <xf numFmtId="0" fontId="13" fillId="6" borderId="20" xfId="0" applyFont="1" applyFill="1" applyBorder="1" applyAlignment="1">
      <alignment horizontal="left" vertical="center"/>
    </xf>
    <xf numFmtId="0" fontId="13" fillId="6" borderId="23" xfId="0" applyFont="1" applyFill="1" applyBorder="1" applyAlignment="1">
      <alignment horizontal="left" vertical="center"/>
    </xf>
    <xf numFmtId="0" fontId="13" fillId="6" borderId="21" xfId="0" applyFont="1" applyFill="1" applyBorder="1" applyAlignment="1">
      <alignment horizontal="left" vertical="center"/>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7" fillId="9" borderId="10" xfId="0" applyFont="1" applyFill="1" applyBorder="1" applyAlignment="1">
      <alignment horizontal="center" vertical="center" textRotation="90" wrapText="1"/>
    </xf>
    <xf numFmtId="0" fontId="7" fillId="9" borderId="52" xfId="0" applyFont="1" applyFill="1" applyBorder="1" applyAlignment="1">
      <alignment horizontal="center" vertical="center" textRotation="90" wrapText="1"/>
    </xf>
    <xf numFmtId="0" fontId="7" fillId="9" borderId="14" xfId="0" applyFont="1" applyFill="1" applyBorder="1" applyAlignment="1">
      <alignment horizontal="center" vertical="center" textRotation="90" wrapText="1"/>
    </xf>
    <xf numFmtId="0" fontId="13" fillId="6" borderId="2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26" fillId="11" borderId="20" xfId="0" applyFont="1" applyFill="1" applyBorder="1" applyAlignment="1">
      <alignment horizontal="right" vertical="center"/>
    </xf>
    <xf numFmtId="0" fontId="26" fillId="11" borderId="21" xfId="0" applyFont="1" applyFill="1" applyBorder="1" applyAlignment="1">
      <alignment horizontal="right" vertical="center"/>
    </xf>
    <xf numFmtId="0" fontId="26" fillId="0" borderId="43" xfId="0" applyFont="1" applyBorder="1" applyAlignment="1" applyProtection="1">
      <alignment horizontal="center" vertical="center" wrapText="1"/>
      <protection locked="0"/>
    </xf>
    <xf numFmtId="0" fontId="26" fillId="0" borderId="34" xfId="0" applyFont="1" applyBorder="1" applyAlignment="1" applyProtection="1">
      <alignment horizontal="center" vertical="center" wrapText="1"/>
      <protection locked="0"/>
    </xf>
    <xf numFmtId="0" fontId="26" fillId="0" borderId="34"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11" borderId="43" xfId="0" applyFont="1" applyFill="1" applyBorder="1" applyAlignment="1" applyProtection="1">
      <alignment horizontal="center" vertical="center"/>
      <protection locked="0"/>
    </xf>
    <xf numFmtId="0" fontId="26" fillId="11" borderId="34" xfId="0" applyFont="1" applyFill="1" applyBorder="1" applyAlignment="1" applyProtection="1">
      <alignment horizontal="center" vertical="center"/>
      <protection locked="0"/>
    </xf>
    <xf numFmtId="0" fontId="26" fillId="11" borderId="35" xfId="0" applyFont="1" applyFill="1" applyBorder="1" applyAlignment="1" applyProtection="1">
      <alignment horizontal="center" vertical="center"/>
      <protection locked="0"/>
    </xf>
    <xf numFmtId="0" fontId="26" fillId="0" borderId="43" xfId="0" applyFont="1" applyBorder="1" applyAlignment="1" applyProtection="1">
      <alignment horizontal="center" vertical="center"/>
      <protection locked="0"/>
    </xf>
    <xf numFmtId="0" fontId="8" fillId="9" borderId="36"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25" xfId="0" applyFont="1" applyFill="1" applyBorder="1" applyAlignment="1">
      <alignment horizontal="center" vertical="center" wrapText="1"/>
    </xf>
    <xf numFmtId="0" fontId="8" fillId="9" borderId="37" xfId="0" applyFont="1" applyFill="1" applyBorder="1" applyAlignment="1">
      <alignment horizontal="center" vertical="center" wrapText="1"/>
    </xf>
    <xf numFmtId="0" fontId="8" fillId="9" borderId="38"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26" fillId="0" borderId="55" xfId="0" applyFont="1" applyBorder="1" applyAlignment="1" applyProtection="1">
      <alignment horizontal="center" vertical="center"/>
      <protection locked="0"/>
    </xf>
    <xf numFmtId="0" fontId="35" fillId="8" borderId="36" xfId="0" applyFont="1" applyFill="1" applyBorder="1" applyAlignment="1">
      <alignment horizontal="left" vertical="center" wrapText="1"/>
    </xf>
    <xf numFmtId="0" fontId="35" fillId="8" borderId="23" xfId="0" applyFont="1" applyFill="1" applyBorder="1" applyAlignment="1">
      <alignment horizontal="left" vertical="center" wrapText="1"/>
    </xf>
    <xf numFmtId="0" fontId="6" fillId="6" borderId="21" xfId="0" applyFont="1" applyFill="1" applyBorder="1" applyAlignment="1">
      <alignment horizontal="center" vertical="center" wrapText="1"/>
    </xf>
    <xf numFmtId="0" fontId="6" fillId="6" borderId="46" xfId="0" applyFont="1" applyFill="1" applyBorder="1" applyAlignment="1">
      <alignment horizontal="center" vertical="center" wrapText="1"/>
    </xf>
    <xf numFmtId="0" fontId="11" fillId="4" borderId="0" xfId="0" applyFont="1" applyFill="1" applyAlignment="1">
      <alignment horizontal="center" wrapText="1"/>
    </xf>
    <xf numFmtId="0" fontId="17" fillId="0" borderId="0" xfId="0" applyFont="1" applyAlignment="1">
      <alignment horizontal="center"/>
    </xf>
    <xf numFmtId="0" fontId="6" fillId="6" borderId="25"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horizontal="center" vertical="center"/>
    </xf>
    <xf numFmtId="0" fontId="39" fillId="11" borderId="0" xfId="0" applyFont="1" applyFill="1" applyAlignment="1">
      <alignment horizontal="center"/>
    </xf>
    <xf numFmtId="0" fontId="34" fillId="0" borderId="0" xfId="0" applyFont="1" applyAlignment="1" applyProtection="1">
      <alignment horizontal="center"/>
      <protection locked="0"/>
    </xf>
    <xf numFmtId="0" fontId="0" fillId="11" borderId="0" xfId="0" applyFill="1" applyAlignment="1">
      <alignment horizontal="center"/>
    </xf>
    <xf numFmtId="0" fontId="10" fillId="6" borderId="0" xfId="0" applyFont="1" applyFill="1" applyAlignment="1">
      <alignment vertical="center"/>
    </xf>
    <xf numFmtId="0" fontId="12" fillId="4" borderId="0" xfId="0" applyFont="1" applyFill="1" applyAlignment="1">
      <alignment horizontal="right"/>
    </xf>
    <xf numFmtId="0" fontId="34" fillId="0" borderId="0" xfId="0" applyFont="1" applyAlignment="1">
      <alignment horizontal="center"/>
    </xf>
  </cellXfs>
  <cellStyles count="6">
    <cellStyle name="Link" xfId="2" builtinId="8"/>
    <cellStyle name="Prozent 4" xfId="4" xr:uid="{56CA9917-6868-4B7B-8334-47FA880F433E}"/>
    <cellStyle name="Standard" xfId="0" builtinId="0"/>
    <cellStyle name="Standard 2" xfId="3" xr:uid="{62AFEF04-9A81-4634-A2DB-9D4CB8100F44}"/>
    <cellStyle name="Standard 3" xfId="5" xr:uid="{BBF7E217-5EA8-429F-8A65-EB4A9C23B78F}"/>
    <cellStyle name="Standard_2008-11-11_Erhebungsblatt_Rosental 2" xfId="1" xr:uid="{0492D70C-C525-4F97-BAD3-2576128FD746}"/>
  </cellStyles>
  <dxfs count="0"/>
  <tableStyles count="0" defaultTableStyle="TableStyleMedium2" defaultPivotStyle="PivotStyleLight16"/>
  <colors>
    <mruColors>
      <color rgb="FFFCC7BE"/>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image" Target="../media/image5.jpg"/><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Bereich</a:t>
            </a:r>
            <a:r>
              <a:rPr lang="de-DE" baseline="0"/>
              <a:t> A</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6833449616266323E-2"/>
          <c:y val="0.17171296296296296"/>
          <c:w val="0.82741239623528073"/>
          <c:h val="0.62308654126567509"/>
        </c:manualLayout>
      </c:layout>
      <c:barChart>
        <c:barDir val="bar"/>
        <c:grouping val="clustered"/>
        <c:varyColors val="0"/>
        <c:ser>
          <c:idx val="0"/>
          <c:order val="0"/>
          <c:tx>
            <c:strRef>
              <c:f>'Bereich A'!$L$35</c:f>
              <c:strCache>
                <c:ptCount val="1"/>
                <c:pt idx="0">
                  <c:v>5,0</c:v>
                </c:pt>
              </c:strCache>
            </c:strRef>
          </c:tx>
          <c:spPr>
            <a:solidFill>
              <a:schemeClr val="tx2">
                <a:lumMod val="50000"/>
                <a:lumOff val="50000"/>
              </a:schemeClr>
            </a:solidFill>
            <a:ln>
              <a:noFill/>
            </a:ln>
            <a:effectLst/>
          </c:spPr>
          <c:invertIfNegative val="0"/>
          <c:cat>
            <c:numRef>
              <c:f>'Bereich A'!$K$35</c:f>
              <c:numCache>
                <c:formatCode>General</c:formatCode>
                <c:ptCount val="1"/>
                <c:pt idx="0">
                  <c:v>4.75</c:v>
                </c:pt>
              </c:numCache>
            </c:numRef>
          </c:cat>
          <c:val>
            <c:numRef>
              <c:f>'Bereich A'!$L$35</c:f>
              <c:numCache>
                <c:formatCode>0.0</c:formatCode>
                <c:ptCount val="1"/>
                <c:pt idx="0">
                  <c:v>5</c:v>
                </c:pt>
              </c:numCache>
            </c:numRef>
          </c:val>
          <c:extLst>
            <c:ext xmlns:c16="http://schemas.microsoft.com/office/drawing/2014/chart" uri="{C3380CC4-5D6E-409C-BE32-E72D297353CC}">
              <c16:uniqueId val="{00000000-AB49-4C6F-9229-CFFD031AF34D}"/>
            </c:ext>
          </c:extLst>
        </c:ser>
        <c:dLbls>
          <c:showLegendKey val="0"/>
          <c:showVal val="0"/>
          <c:showCatName val="0"/>
          <c:showSerName val="0"/>
          <c:showPercent val="0"/>
          <c:showBubbleSize val="0"/>
        </c:dLbls>
        <c:gapWidth val="182"/>
        <c:axId val="1327023279"/>
        <c:axId val="1327049199"/>
      </c:barChart>
      <c:catAx>
        <c:axId val="1327023279"/>
        <c:scaling>
          <c:orientation val="minMax"/>
        </c:scaling>
        <c:delete val="1"/>
        <c:axPos val="l"/>
        <c:numFmt formatCode="General" sourceLinked="1"/>
        <c:majorTickMark val="none"/>
        <c:minorTickMark val="none"/>
        <c:tickLblPos val="nextTo"/>
        <c:crossAx val="1327049199"/>
        <c:crosses val="autoZero"/>
        <c:auto val="1"/>
        <c:lblAlgn val="ctr"/>
        <c:lblOffset val="100"/>
        <c:noMultiLvlLbl val="0"/>
      </c:catAx>
      <c:valAx>
        <c:axId val="1327049199"/>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27023279"/>
        <c:crosses val="autoZero"/>
        <c:crossBetween val="between"/>
        <c:majorUnit val="10"/>
      </c:valAx>
      <c:spPr>
        <a:blipFill dpi="0" rotWithShape="1">
          <a:blip xmlns:r="http://schemas.openxmlformats.org/officeDocument/2006/relationships" r:embed="rId3">
            <a:alphaModFix amt="50000"/>
          </a:blip>
          <a:srcRect/>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6812442676519877E-2"/>
          <c:w val="1"/>
          <c:h val="0.97318755732348017"/>
        </c:manualLayout>
      </c:layout>
      <c:barChart>
        <c:barDir val="bar"/>
        <c:grouping val="clustered"/>
        <c:varyColors val="0"/>
        <c:ser>
          <c:idx val="0"/>
          <c:order val="0"/>
          <c:spPr>
            <a:solidFill>
              <a:schemeClr val="accent1"/>
            </a:solidFill>
            <a:ln>
              <a:noFill/>
            </a:ln>
            <a:effectLst/>
          </c:spPr>
          <c:invertIfNegative val="0"/>
          <c:val>
            <c:numRef>
              <c:f>Diagramm!$L$21</c:f>
              <c:numCache>
                <c:formatCode>0.00%</c:formatCode>
                <c:ptCount val="1"/>
                <c:pt idx="0">
                  <c:v>0.05</c:v>
                </c:pt>
              </c:numCache>
            </c:numRef>
          </c:val>
          <c:extLst>
            <c:ext xmlns:c16="http://schemas.microsoft.com/office/drawing/2014/chart" uri="{C3380CC4-5D6E-409C-BE32-E72D297353CC}">
              <c16:uniqueId val="{00000000-6BC0-4ECF-BFE7-16D5F6A13360}"/>
            </c:ext>
          </c:extLst>
        </c:ser>
        <c:dLbls>
          <c:showLegendKey val="0"/>
          <c:showVal val="0"/>
          <c:showCatName val="0"/>
          <c:showSerName val="0"/>
          <c:showPercent val="0"/>
          <c:showBubbleSize val="0"/>
        </c:dLbls>
        <c:gapWidth val="10"/>
        <c:axId val="197736559"/>
        <c:axId val="197742319"/>
      </c:barChart>
      <c:catAx>
        <c:axId val="197736559"/>
        <c:scaling>
          <c:orientation val="minMax"/>
        </c:scaling>
        <c:delete val="1"/>
        <c:axPos val="l"/>
        <c:majorTickMark val="out"/>
        <c:minorTickMark val="none"/>
        <c:tickLblPos val="nextTo"/>
        <c:crossAx val="197742319"/>
        <c:crosses val="autoZero"/>
        <c:auto val="1"/>
        <c:lblAlgn val="ctr"/>
        <c:lblOffset val="100"/>
        <c:noMultiLvlLbl val="0"/>
      </c:catAx>
      <c:valAx>
        <c:axId val="197742319"/>
        <c:scaling>
          <c:orientation val="minMax"/>
          <c:max val="1"/>
        </c:scaling>
        <c:delete val="1"/>
        <c:axPos val="b"/>
        <c:majorGridlines>
          <c:spPr>
            <a:ln w="9525" cap="flat" cmpd="sng" algn="ctr">
              <a:noFill/>
              <a:round/>
            </a:ln>
            <a:effectLst/>
          </c:spPr>
        </c:majorGridlines>
        <c:numFmt formatCode="0.00%" sourceLinked="1"/>
        <c:majorTickMark val="out"/>
        <c:minorTickMark val="none"/>
        <c:tickLblPos val="nextTo"/>
        <c:crossAx val="197736559"/>
        <c:crosses val="autoZero"/>
        <c:crossBetween val="between"/>
      </c:valAx>
      <c:spPr>
        <a:blipFill>
          <a:blip xmlns:r="http://schemas.openxmlformats.org/officeDocument/2006/relationships" r:embed="rId3"/>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6812442676519877E-2"/>
          <c:w val="1"/>
          <c:h val="0.97318755732348017"/>
        </c:manualLayout>
      </c:layout>
      <c:barChart>
        <c:barDir val="bar"/>
        <c:grouping val="clustered"/>
        <c:varyColors val="0"/>
        <c:ser>
          <c:idx val="0"/>
          <c:order val="0"/>
          <c:spPr>
            <a:solidFill>
              <a:schemeClr val="accent1"/>
            </a:solidFill>
            <a:ln>
              <a:noFill/>
            </a:ln>
            <a:effectLst/>
          </c:spPr>
          <c:invertIfNegative val="0"/>
          <c:val>
            <c:numRef>
              <c:f>Diagramm!$L$11</c:f>
              <c:numCache>
                <c:formatCode>0.00%</c:formatCode>
                <c:ptCount val="1"/>
                <c:pt idx="0">
                  <c:v>0.05</c:v>
                </c:pt>
              </c:numCache>
            </c:numRef>
          </c:val>
          <c:extLst>
            <c:ext xmlns:c16="http://schemas.microsoft.com/office/drawing/2014/chart" uri="{C3380CC4-5D6E-409C-BE32-E72D297353CC}">
              <c16:uniqueId val="{00000000-96E1-4020-ADB9-75B2CB1895EE}"/>
            </c:ext>
          </c:extLst>
        </c:ser>
        <c:dLbls>
          <c:showLegendKey val="0"/>
          <c:showVal val="0"/>
          <c:showCatName val="0"/>
          <c:showSerName val="0"/>
          <c:showPercent val="0"/>
          <c:showBubbleSize val="0"/>
        </c:dLbls>
        <c:gapWidth val="10"/>
        <c:axId val="197736559"/>
        <c:axId val="197742319"/>
      </c:barChart>
      <c:catAx>
        <c:axId val="197736559"/>
        <c:scaling>
          <c:orientation val="minMax"/>
        </c:scaling>
        <c:delete val="1"/>
        <c:axPos val="l"/>
        <c:majorTickMark val="out"/>
        <c:minorTickMark val="none"/>
        <c:tickLblPos val="nextTo"/>
        <c:crossAx val="197742319"/>
        <c:crosses val="autoZero"/>
        <c:auto val="1"/>
        <c:lblAlgn val="ctr"/>
        <c:lblOffset val="100"/>
        <c:noMultiLvlLbl val="0"/>
      </c:catAx>
      <c:valAx>
        <c:axId val="197742319"/>
        <c:scaling>
          <c:orientation val="minMax"/>
          <c:max val="1"/>
        </c:scaling>
        <c:delete val="1"/>
        <c:axPos val="b"/>
        <c:majorGridlines>
          <c:spPr>
            <a:ln w="9525" cap="flat" cmpd="sng" algn="ctr">
              <a:noFill/>
              <a:round/>
            </a:ln>
            <a:effectLst/>
          </c:spPr>
        </c:majorGridlines>
        <c:numFmt formatCode="0.00%" sourceLinked="1"/>
        <c:majorTickMark val="out"/>
        <c:minorTickMark val="none"/>
        <c:tickLblPos val="nextTo"/>
        <c:crossAx val="197736559"/>
        <c:crosses val="autoZero"/>
        <c:crossBetween val="between"/>
      </c:valAx>
      <c:spPr>
        <a:blipFill>
          <a:blip xmlns:r="http://schemas.openxmlformats.org/officeDocument/2006/relationships" r:embed="rId3"/>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6812442676519877E-2"/>
          <c:w val="1"/>
          <c:h val="0.97318755732348017"/>
        </c:manualLayout>
      </c:layout>
      <c:barChart>
        <c:barDir val="bar"/>
        <c:grouping val="clustered"/>
        <c:varyColors val="0"/>
        <c:ser>
          <c:idx val="0"/>
          <c:order val="0"/>
          <c:spPr>
            <a:solidFill>
              <a:schemeClr val="accent1"/>
            </a:solidFill>
            <a:ln>
              <a:noFill/>
            </a:ln>
            <a:effectLst/>
          </c:spPr>
          <c:invertIfNegative val="0"/>
          <c:val>
            <c:numRef>
              <c:f>Diagramm!$L$13</c:f>
              <c:numCache>
                <c:formatCode>0.00%</c:formatCode>
                <c:ptCount val="1"/>
                <c:pt idx="0">
                  <c:v>0.109375</c:v>
                </c:pt>
              </c:numCache>
            </c:numRef>
          </c:val>
          <c:extLst>
            <c:ext xmlns:c16="http://schemas.microsoft.com/office/drawing/2014/chart" uri="{C3380CC4-5D6E-409C-BE32-E72D297353CC}">
              <c16:uniqueId val="{00000000-3555-4977-8AA9-7E9F050248FA}"/>
            </c:ext>
          </c:extLst>
        </c:ser>
        <c:dLbls>
          <c:showLegendKey val="0"/>
          <c:showVal val="0"/>
          <c:showCatName val="0"/>
          <c:showSerName val="0"/>
          <c:showPercent val="0"/>
          <c:showBubbleSize val="0"/>
        </c:dLbls>
        <c:gapWidth val="10"/>
        <c:axId val="197736559"/>
        <c:axId val="197742319"/>
      </c:barChart>
      <c:catAx>
        <c:axId val="197736559"/>
        <c:scaling>
          <c:orientation val="minMax"/>
        </c:scaling>
        <c:delete val="1"/>
        <c:axPos val="l"/>
        <c:majorTickMark val="out"/>
        <c:minorTickMark val="none"/>
        <c:tickLblPos val="nextTo"/>
        <c:crossAx val="197742319"/>
        <c:crosses val="autoZero"/>
        <c:auto val="1"/>
        <c:lblAlgn val="ctr"/>
        <c:lblOffset val="100"/>
        <c:noMultiLvlLbl val="0"/>
      </c:catAx>
      <c:valAx>
        <c:axId val="197742319"/>
        <c:scaling>
          <c:orientation val="minMax"/>
          <c:max val="1"/>
        </c:scaling>
        <c:delete val="1"/>
        <c:axPos val="b"/>
        <c:majorGridlines>
          <c:spPr>
            <a:ln w="9525" cap="flat" cmpd="sng" algn="ctr">
              <a:noFill/>
              <a:round/>
            </a:ln>
            <a:effectLst/>
          </c:spPr>
        </c:majorGridlines>
        <c:numFmt formatCode="0.00%" sourceLinked="1"/>
        <c:majorTickMark val="out"/>
        <c:minorTickMark val="none"/>
        <c:tickLblPos val="nextTo"/>
        <c:crossAx val="197736559"/>
        <c:crosses val="autoZero"/>
        <c:crossBetween val="between"/>
      </c:valAx>
      <c:spPr>
        <a:blipFill>
          <a:blip xmlns:r="http://schemas.openxmlformats.org/officeDocument/2006/relationships" r:embed="rId3"/>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Lit>
              <c:ptCount val="6"/>
              <c:pt idx="0">
                <c:v>1</c:v>
              </c:pt>
              <c:pt idx="1">
                <c:v>2</c:v>
              </c:pt>
              <c:pt idx="2">
                <c:v>3</c:v>
              </c:pt>
              <c:pt idx="3">
                <c:v>4</c:v>
              </c:pt>
              <c:pt idx="4">
                <c:v>5</c:v>
              </c:pt>
              <c:pt idx="5">
                <c:v>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Diagramm!$S$11:$S$18</c15:sqref>
                  </c15:fullRef>
                </c:ext>
              </c:extLst>
              <c:f>Diagramm!$S$11:$S$16</c:f>
              <c:numCache>
                <c:formatCode>0.00%</c:formatCode>
                <c:ptCount val="6"/>
                <c:pt idx="0">
                  <c:v>0.05</c:v>
                </c:pt>
                <c:pt idx="1">
                  <c:v>0.05</c:v>
                </c:pt>
                <c:pt idx="2">
                  <c:v>0.05</c:v>
                </c:pt>
                <c:pt idx="3">
                  <c:v>7.8125E-2</c:v>
                </c:pt>
                <c:pt idx="4">
                  <c:v>0.109375</c:v>
                </c:pt>
                <c:pt idx="5">
                  <c:v>0.05</c:v>
                </c:pt>
              </c:numCache>
            </c:numRef>
          </c:val>
          <c:extLst>
            <c:ext xmlns:c16="http://schemas.microsoft.com/office/drawing/2014/chart" uri="{C3380CC4-5D6E-409C-BE32-E72D297353CC}">
              <c16:uniqueId val="{00000000-9B98-4081-BA87-5B40E1B87908}"/>
            </c:ext>
          </c:extLst>
        </c:ser>
        <c:dLbls>
          <c:showLegendKey val="0"/>
          <c:showVal val="0"/>
          <c:showCatName val="0"/>
          <c:showSerName val="0"/>
          <c:showPercent val="0"/>
          <c:showBubbleSize val="0"/>
        </c:dLbls>
        <c:gapWidth val="90"/>
        <c:axId val="618597312"/>
        <c:axId val="610950032"/>
      </c:barChart>
      <c:catAx>
        <c:axId val="618597312"/>
        <c:scaling>
          <c:orientation val="minMax"/>
        </c:scaling>
        <c:delete val="1"/>
        <c:axPos val="l"/>
        <c:numFmt formatCode="General" sourceLinked="0"/>
        <c:majorTickMark val="none"/>
        <c:minorTickMark val="none"/>
        <c:tickLblPos val="nextTo"/>
        <c:crossAx val="610950032"/>
        <c:crosses val="autoZero"/>
        <c:auto val="1"/>
        <c:lblAlgn val="ctr"/>
        <c:lblOffset val="100"/>
        <c:noMultiLvlLbl val="0"/>
      </c:catAx>
      <c:valAx>
        <c:axId val="610950032"/>
        <c:scaling>
          <c:orientation val="minMax"/>
          <c:max val="1"/>
        </c:scaling>
        <c:delete val="0"/>
        <c:axPos val="b"/>
        <c:majorGridlines>
          <c:spPr>
            <a:ln w="9525" cap="flat" cmpd="sng" algn="ctr">
              <a:solidFill>
                <a:schemeClr val="accent1">
                  <a:alpha val="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618597312"/>
        <c:crosses val="autoZero"/>
        <c:crossBetween val="between"/>
      </c:valAx>
      <c:spPr>
        <a:blipFill dpi="0" rotWithShape="1">
          <a:blip xmlns:r="http://schemas.openxmlformats.org/officeDocument/2006/relationships" r:embed="rId3">
            <a:alphaModFix amt="50000"/>
          </a:blip>
          <a:srcRect/>
          <a:stretch>
            <a:fillRect t="3000" b="3000"/>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Bereich</a:t>
            </a:r>
            <a:r>
              <a:rPr lang="de-DE" baseline="0"/>
              <a:t> B</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6833449616266323E-2"/>
          <c:y val="0.17171296296296296"/>
          <c:w val="0.82741239623528073"/>
          <c:h val="0.62308654126567509"/>
        </c:manualLayout>
      </c:layout>
      <c:barChart>
        <c:barDir val="bar"/>
        <c:grouping val="clustered"/>
        <c:varyColors val="0"/>
        <c:ser>
          <c:idx val="0"/>
          <c:order val="0"/>
          <c:tx>
            <c:strRef>
              <c:f>'Bereich B '!$L$38</c:f>
              <c:strCache>
                <c:ptCount val="1"/>
                <c:pt idx="0">
                  <c:v>10,9</c:v>
                </c:pt>
              </c:strCache>
            </c:strRef>
          </c:tx>
          <c:spPr>
            <a:solidFill>
              <a:schemeClr val="tx2">
                <a:lumMod val="50000"/>
                <a:lumOff val="50000"/>
              </a:schemeClr>
            </a:solidFill>
            <a:ln>
              <a:noFill/>
            </a:ln>
            <a:effectLst/>
          </c:spPr>
          <c:invertIfNegative val="0"/>
          <c:cat>
            <c:numRef>
              <c:f>'Bereich B '!$L$38</c:f>
              <c:numCache>
                <c:formatCode>0.0</c:formatCode>
                <c:ptCount val="1"/>
                <c:pt idx="0">
                  <c:v>10.9375</c:v>
                </c:pt>
              </c:numCache>
            </c:numRef>
          </c:cat>
          <c:val>
            <c:numRef>
              <c:f>'Bereich B '!$L$38</c:f>
              <c:numCache>
                <c:formatCode>0.0</c:formatCode>
                <c:ptCount val="1"/>
                <c:pt idx="0">
                  <c:v>10.9375</c:v>
                </c:pt>
              </c:numCache>
            </c:numRef>
          </c:val>
          <c:extLst>
            <c:ext xmlns:c16="http://schemas.microsoft.com/office/drawing/2014/chart" uri="{C3380CC4-5D6E-409C-BE32-E72D297353CC}">
              <c16:uniqueId val="{00000000-2C17-448D-8EB0-0A60D2EA6EB6}"/>
            </c:ext>
          </c:extLst>
        </c:ser>
        <c:dLbls>
          <c:showLegendKey val="0"/>
          <c:showVal val="0"/>
          <c:showCatName val="0"/>
          <c:showSerName val="0"/>
          <c:showPercent val="0"/>
          <c:showBubbleSize val="0"/>
        </c:dLbls>
        <c:gapWidth val="182"/>
        <c:axId val="1327023279"/>
        <c:axId val="1327049199"/>
      </c:barChart>
      <c:catAx>
        <c:axId val="1327023279"/>
        <c:scaling>
          <c:orientation val="minMax"/>
        </c:scaling>
        <c:delete val="1"/>
        <c:axPos val="l"/>
        <c:numFmt formatCode="0.0" sourceLinked="1"/>
        <c:majorTickMark val="none"/>
        <c:minorTickMark val="none"/>
        <c:tickLblPos val="nextTo"/>
        <c:crossAx val="1327049199"/>
        <c:crosses val="autoZero"/>
        <c:auto val="1"/>
        <c:lblAlgn val="ctr"/>
        <c:lblOffset val="100"/>
        <c:noMultiLvlLbl val="0"/>
      </c:catAx>
      <c:valAx>
        <c:axId val="1327049199"/>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27023279"/>
        <c:crosses val="autoZero"/>
        <c:crossBetween val="between"/>
        <c:majorUnit val="10"/>
      </c:valAx>
      <c:spPr>
        <a:blipFill dpi="0" rotWithShape="1">
          <a:blip xmlns:r="http://schemas.openxmlformats.org/officeDocument/2006/relationships" r:embed="rId3">
            <a:alphaModFix amt="50000"/>
          </a:blip>
          <a:srcRect/>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Bereich</a:t>
            </a:r>
            <a:r>
              <a:rPr lang="de-DE" baseline="0"/>
              <a:t> C</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6833449616266323E-2"/>
          <c:y val="0.17171296296296296"/>
          <c:w val="0.82741239623528073"/>
          <c:h val="0.62308654126567509"/>
        </c:manualLayout>
      </c:layout>
      <c:barChart>
        <c:barDir val="bar"/>
        <c:grouping val="clustered"/>
        <c:varyColors val="0"/>
        <c:ser>
          <c:idx val="0"/>
          <c:order val="0"/>
          <c:tx>
            <c:strRef>
              <c:f>'Bereich C '!$L$39</c:f>
              <c:strCache>
                <c:ptCount val="1"/>
                <c:pt idx="0">
                  <c:v>7,8</c:v>
                </c:pt>
              </c:strCache>
            </c:strRef>
          </c:tx>
          <c:spPr>
            <a:solidFill>
              <a:schemeClr val="tx2">
                <a:lumMod val="50000"/>
                <a:lumOff val="50000"/>
              </a:schemeClr>
            </a:solidFill>
            <a:ln>
              <a:noFill/>
            </a:ln>
            <a:effectLst/>
          </c:spPr>
          <c:invertIfNegative val="0"/>
          <c:cat>
            <c:numRef>
              <c:f>'Bereich C '!$L$39</c:f>
              <c:numCache>
                <c:formatCode>0.0</c:formatCode>
                <c:ptCount val="1"/>
                <c:pt idx="0">
                  <c:v>7.8125</c:v>
                </c:pt>
              </c:numCache>
            </c:numRef>
          </c:cat>
          <c:val>
            <c:numRef>
              <c:f>'Bereich C '!$L$39</c:f>
              <c:numCache>
                <c:formatCode>0.0</c:formatCode>
                <c:ptCount val="1"/>
                <c:pt idx="0">
                  <c:v>7.8125</c:v>
                </c:pt>
              </c:numCache>
            </c:numRef>
          </c:val>
          <c:extLst>
            <c:ext xmlns:c16="http://schemas.microsoft.com/office/drawing/2014/chart" uri="{C3380CC4-5D6E-409C-BE32-E72D297353CC}">
              <c16:uniqueId val="{00000000-2DC9-4FC4-B0A6-C0466A23D691}"/>
            </c:ext>
          </c:extLst>
        </c:ser>
        <c:dLbls>
          <c:showLegendKey val="0"/>
          <c:showVal val="0"/>
          <c:showCatName val="0"/>
          <c:showSerName val="0"/>
          <c:showPercent val="0"/>
          <c:showBubbleSize val="0"/>
        </c:dLbls>
        <c:gapWidth val="182"/>
        <c:axId val="1327023279"/>
        <c:axId val="1327049199"/>
      </c:barChart>
      <c:catAx>
        <c:axId val="1327023279"/>
        <c:scaling>
          <c:orientation val="minMax"/>
        </c:scaling>
        <c:delete val="1"/>
        <c:axPos val="l"/>
        <c:numFmt formatCode="0.0" sourceLinked="1"/>
        <c:majorTickMark val="none"/>
        <c:minorTickMark val="none"/>
        <c:tickLblPos val="nextTo"/>
        <c:crossAx val="1327049199"/>
        <c:crosses val="autoZero"/>
        <c:auto val="1"/>
        <c:lblAlgn val="ctr"/>
        <c:lblOffset val="100"/>
        <c:noMultiLvlLbl val="0"/>
      </c:catAx>
      <c:valAx>
        <c:axId val="1327049199"/>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27023279"/>
        <c:crosses val="autoZero"/>
        <c:crossBetween val="between"/>
        <c:majorUnit val="10"/>
      </c:valAx>
      <c:spPr>
        <a:blipFill dpi="0" rotWithShape="1">
          <a:blip xmlns:r="http://schemas.openxmlformats.org/officeDocument/2006/relationships" r:embed="rId3">
            <a:alphaModFix amt="50000"/>
          </a:blip>
          <a:srcRect/>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Bereich</a:t>
            </a:r>
            <a:r>
              <a:rPr lang="de-DE" baseline="0"/>
              <a:t> D</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6833449616266323E-2"/>
          <c:y val="0.17171296296296296"/>
          <c:w val="0.82741239623528073"/>
          <c:h val="0.62308654126567509"/>
        </c:manualLayout>
      </c:layout>
      <c:barChart>
        <c:barDir val="bar"/>
        <c:grouping val="clustered"/>
        <c:varyColors val="0"/>
        <c:ser>
          <c:idx val="0"/>
          <c:order val="0"/>
          <c:tx>
            <c:strRef>
              <c:f>'Bereich D'!$L$37</c:f>
              <c:strCache>
                <c:ptCount val="1"/>
                <c:pt idx="0">
                  <c:v>5,0</c:v>
                </c:pt>
              </c:strCache>
            </c:strRef>
          </c:tx>
          <c:spPr>
            <a:solidFill>
              <a:schemeClr val="tx2">
                <a:lumMod val="50000"/>
                <a:lumOff val="50000"/>
              </a:schemeClr>
            </a:solidFill>
            <a:ln>
              <a:noFill/>
            </a:ln>
            <a:effectLst/>
          </c:spPr>
          <c:invertIfNegative val="0"/>
          <c:cat>
            <c:numRef>
              <c:f>'Bereich D'!$K$37</c:f>
              <c:numCache>
                <c:formatCode>General</c:formatCode>
                <c:ptCount val="1"/>
                <c:pt idx="0">
                  <c:v>4.75</c:v>
                </c:pt>
              </c:numCache>
            </c:numRef>
          </c:cat>
          <c:val>
            <c:numRef>
              <c:f>'Bereich D'!$L$37</c:f>
              <c:numCache>
                <c:formatCode>0.0</c:formatCode>
                <c:ptCount val="1"/>
                <c:pt idx="0">
                  <c:v>5</c:v>
                </c:pt>
              </c:numCache>
            </c:numRef>
          </c:val>
          <c:extLst>
            <c:ext xmlns:c16="http://schemas.microsoft.com/office/drawing/2014/chart" uri="{C3380CC4-5D6E-409C-BE32-E72D297353CC}">
              <c16:uniqueId val="{00000000-C366-4FC5-921F-EF7EF2AC8283}"/>
            </c:ext>
          </c:extLst>
        </c:ser>
        <c:dLbls>
          <c:showLegendKey val="0"/>
          <c:showVal val="0"/>
          <c:showCatName val="0"/>
          <c:showSerName val="0"/>
          <c:showPercent val="0"/>
          <c:showBubbleSize val="0"/>
        </c:dLbls>
        <c:gapWidth val="182"/>
        <c:axId val="1327023279"/>
        <c:axId val="1327049199"/>
      </c:barChart>
      <c:catAx>
        <c:axId val="1327023279"/>
        <c:scaling>
          <c:orientation val="minMax"/>
        </c:scaling>
        <c:delete val="1"/>
        <c:axPos val="l"/>
        <c:numFmt formatCode="General" sourceLinked="1"/>
        <c:majorTickMark val="none"/>
        <c:minorTickMark val="none"/>
        <c:tickLblPos val="nextTo"/>
        <c:crossAx val="1327049199"/>
        <c:crosses val="autoZero"/>
        <c:auto val="1"/>
        <c:lblAlgn val="ctr"/>
        <c:lblOffset val="100"/>
        <c:noMultiLvlLbl val="0"/>
      </c:catAx>
      <c:valAx>
        <c:axId val="1327049199"/>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27023279"/>
        <c:crosses val="autoZero"/>
        <c:crossBetween val="between"/>
        <c:majorUnit val="10"/>
      </c:valAx>
      <c:spPr>
        <a:blipFill>
          <a:blip xmlns:r="http://schemas.openxmlformats.org/officeDocument/2006/relationships" r:embed="rId3">
            <a:alphaModFix amt="50000"/>
          </a:blip>
          <a:stretch>
            <a:fillRect/>
          </a:stretch>
        </a:blip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Bereich</a:t>
            </a:r>
            <a:r>
              <a:rPr lang="de-DE" baseline="0"/>
              <a:t> E</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6833449616266323E-2"/>
          <c:y val="0.17171296296296296"/>
          <c:w val="0.82741239623528073"/>
          <c:h val="0.62308654126567509"/>
        </c:manualLayout>
      </c:layout>
      <c:barChart>
        <c:barDir val="bar"/>
        <c:grouping val="clustered"/>
        <c:varyColors val="0"/>
        <c:ser>
          <c:idx val="0"/>
          <c:order val="0"/>
          <c:tx>
            <c:strRef>
              <c:f>'Bereich E '!$L$39</c:f>
              <c:strCache>
                <c:ptCount val="1"/>
                <c:pt idx="0">
                  <c:v>5,0</c:v>
                </c:pt>
              </c:strCache>
            </c:strRef>
          </c:tx>
          <c:spPr>
            <a:solidFill>
              <a:schemeClr val="tx2">
                <a:lumMod val="50000"/>
                <a:lumOff val="50000"/>
              </a:schemeClr>
            </a:solidFill>
            <a:ln>
              <a:noFill/>
            </a:ln>
            <a:effectLst/>
          </c:spPr>
          <c:invertIfNegative val="0"/>
          <c:cat>
            <c:numRef>
              <c:f>'Bereich E '!$L$39</c:f>
              <c:numCache>
                <c:formatCode>0.0</c:formatCode>
                <c:ptCount val="1"/>
                <c:pt idx="0">
                  <c:v>5</c:v>
                </c:pt>
              </c:numCache>
            </c:numRef>
          </c:cat>
          <c:val>
            <c:numRef>
              <c:f>'Bereich E '!$L$39</c:f>
              <c:numCache>
                <c:formatCode>0.0</c:formatCode>
                <c:ptCount val="1"/>
                <c:pt idx="0">
                  <c:v>5</c:v>
                </c:pt>
              </c:numCache>
            </c:numRef>
          </c:val>
          <c:extLst>
            <c:ext xmlns:c16="http://schemas.microsoft.com/office/drawing/2014/chart" uri="{C3380CC4-5D6E-409C-BE32-E72D297353CC}">
              <c16:uniqueId val="{00000000-9808-4B9A-9069-AE7538B32EB8}"/>
            </c:ext>
          </c:extLst>
        </c:ser>
        <c:dLbls>
          <c:showLegendKey val="0"/>
          <c:showVal val="0"/>
          <c:showCatName val="0"/>
          <c:showSerName val="0"/>
          <c:showPercent val="0"/>
          <c:showBubbleSize val="0"/>
        </c:dLbls>
        <c:gapWidth val="182"/>
        <c:axId val="1327023279"/>
        <c:axId val="1327049199"/>
      </c:barChart>
      <c:catAx>
        <c:axId val="1327023279"/>
        <c:scaling>
          <c:orientation val="minMax"/>
        </c:scaling>
        <c:delete val="1"/>
        <c:axPos val="l"/>
        <c:numFmt formatCode="0.0" sourceLinked="1"/>
        <c:majorTickMark val="none"/>
        <c:minorTickMark val="none"/>
        <c:tickLblPos val="nextTo"/>
        <c:crossAx val="1327049199"/>
        <c:crosses val="autoZero"/>
        <c:auto val="1"/>
        <c:lblAlgn val="ctr"/>
        <c:lblOffset val="100"/>
        <c:noMultiLvlLbl val="0"/>
      </c:catAx>
      <c:valAx>
        <c:axId val="1327049199"/>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27023279"/>
        <c:crosses val="autoZero"/>
        <c:crossBetween val="between"/>
        <c:majorUnit val="10"/>
      </c:valAx>
      <c:spPr>
        <a:blipFill dpi="0" rotWithShape="1">
          <a:blip xmlns:r="http://schemas.openxmlformats.org/officeDocument/2006/relationships" r:embed="rId3">
            <a:alphaModFix amt="50000"/>
          </a:blip>
          <a:srcRect/>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Bereich</a:t>
            </a:r>
            <a:r>
              <a:rPr lang="de-DE" baseline="0"/>
              <a:t> F</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6833449616266323E-2"/>
          <c:y val="0.17171296296296296"/>
          <c:w val="0.82741239623528073"/>
          <c:h val="0.62308654126567509"/>
        </c:manualLayout>
      </c:layout>
      <c:barChart>
        <c:barDir val="bar"/>
        <c:grouping val="clustered"/>
        <c:varyColors val="0"/>
        <c:ser>
          <c:idx val="0"/>
          <c:order val="0"/>
          <c:tx>
            <c:strRef>
              <c:f>'Bereich F '!$L$31</c:f>
              <c:strCache>
                <c:ptCount val="1"/>
                <c:pt idx="0">
                  <c:v>5,0</c:v>
                </c:pt>
              </c:strCache>
            </c:strRef>
          </c:tx>
          <c:spPr>
            <a:solidFill>
              <a:schemeClr val="accent1"/>
            </a:solidFill>
            <a:ln>
              <a:noFill/>
            </a:ln>
            <a:effectLst/>
          </c:spPr>
          <c:invertIfNegative val="0"/>
          <c:dPt>
            <c:idx val="0"/>
            <c:invertIfNegative val="0"/>
            <c:bubble3D val="0"/>
            <c:spPr>
              <a:solidFill>
                <a:schemeClr val="tx2">
                  <a:lumMod val="50000"/>
                  <a:lumOff val="50000"/>
                </a:schemeClr>
              </a:solidFill>
              <a:ln>
                <a:noFill/>
              </a:ln>
              <a:effectLst/>
            </c:spPr>
            <c:extLst>
              <c:ext xmlns:c16="http://schemas.microsoft.com/office/drawing/2014/chart" uri="{C3380CC4-5D6E-409C-BE32-E72D297353CC}">
                <c16:uniqueId val="{00000000-9C91-47E3-B89E-37E1EA4A29C0}"/>
              </c:ext>
            </c:extLst>
          </c:dPt>
          <c:cat>
            <c:numRef>
              <c:f>'Bereich F '!$L$31</c:f>
              <c:numCache>
                <c:formatCode>0.0</c:formatCode>
                <c:ptCount val="1"/>
                <c:pt idx="0">
                  <c:v>5</c:v>
                </c:pt>
              </c:numCache>
            </c:numRef>
          </c:cat>
          <c:val>
            <c:numRef>
              <c:f>'Bereich F '!$L$31</c:f>
              <c:numCache>
                <c:formatCode>0.0</c:formatCode>
                <c:ptCount val="1"/>
                <c:pt idx="0">
                  <c:v>5</c:v>
                </c:pt>
              </c:numCache>
            </c:numRef>
          </c:val>
          <c:extLst>
            <c:ext xmlns:c16="http://schemas.microsoft.com/office/drawing/2014/chart" uri="{C3380CC4-5D6E-409C-BE32-E72D297353CC}">
              <c16:uniqueId val="{00000000-23F9-41A4-967A-57458781CEB4}"/>
            </c:ext>
          </c:extLst>
        </c:ser>
        <c:dLbls>
          <c:showLegendKey val="0"/>
          <c:showVal val="0"/>
          <c:showCatName val="0"/>
          <c:showSerName val="0"/>
          <c:showPercent val="0"/>
          <c:showBubbleSize val="0"/>
        </c:dLbls>
        <c:gapWidth val="182"/>
        <c:axId val="1327023279"/>
        <c:axId val="1327049199"/>
      </c:barChart>
      <c:catAx>
        <c:axId val="1327023279"/>
        <c:scaling>
          <c:orientation val="minMax"/>
        </c:scaling>
        <c:delete val="1"/>
        <c:axPos val="l"/>
        <c:numFmt formatCode="0.0" sourceLinked="1"/>
        <c:majorTickMark val="none"/>
        <c:minorTickMark val="none"/>
        <c:tickLblPos val="nextTo"/>
        <c:crossAx val="1327049199"/>
        <c:crosses val="autoZero"/>
        <c:auto val="1"/>
        <c:lblAlgn val="ctr"/>
        <c:lblOffset val="100"/>
        <c:noMultiLvlLbl val="0"/>
      </c:catAx>
      <c:valAx>
        <c:axId val="1327049199"/>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27023279"/>
        <c:crosses val="autoZero"/>
        <c:crossBetween val="between"/>
        <c:majorUnit val="10"/>
      </c:valAx>
      <c:spPr>
        <a:blipFill dpi="0" rotWithShape="1">
          <a:blip xmlns:r="http://schemas.openxmlformats.org/officeDocument/2006/relationships" r:embed="rId3">
            <a:alphaModFix amt="50000"/>
          </a:blip>
          <a:srcRect/>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6812442676519877E-2"/>
          <c:w val="1"/>
          <c:h val="0.97318755732348017"/>
        </c:manualLayout>
      </c:layout>
      <c:barChart>
        <c:barDir val="bar"/>
        <c:grouping val="clustered"/>
        <c:varyColors val="0"/>
        <c:ser>
          <c:idx val="0"/>
          <c:order val="0"/>
          <c:spPr>
            <a:solidFill>
              <a:schemeClr val="accent1"/>
            </a:solidFill>
            <a:ln>
              <a:noFill/>
            </a:ln>
            <a:effectLst/>
          </c:spPr>
          <c:invertIfNegative val="0"/>
          <c:val>
            <c:numRef>
              <c:f>Diagramm!$L$15</c:f>
              <c:numCache>
                <c:formatCode>0.00%</c:formatCode>
                <c:ptCount val="1"/>
                <c:pt idx="0">
                  <c:v>7.8125E-2</c:v>
                </c:pt>
              </c:numCache>
            </c:numRef>
          </c:val>
          <c:extLst>
            <c:ext xmlns:c16="http://schemas.microsoft.com/office/drawing/2014/chart" uri="{C3380CC4-5D6E-409C-BE32-E72D297353CC}">
              <c16:uniqueId val="{00000000-9DFF-4EEE-90D7-AF9D2B7A042D}"/>
            </c:ext>
          </c:extLst>
        </c:ser>
        <c:dLbls>
          <c:showLegendKey val="0"/>
          <c:showVal val="0"/>
          <c:showCatName val="0"/>
          <c:showSerName val="0"/>
          <c:showPercent val="0"/>
          <c:showBubbleSize val="0"/>
        </c:dLbls>
        <c:gapWidth val="10"/>
        <c:axId val="197736559"/>
        <c:axId val="197742319"/>
      </c:barChart>
      <c:catAx>
        <c:axId val="197736559"/>
        <c:scaling>
          <c:orientation val="minMax"/>
        </c:scaling>
        <c:delete val="1"/>
        <c:axPos val="l"/>
        <c:majorTickMark val="out"/>
        <c:minorTickMark val="none"/>
        <c:tickLblPos val="nextTo"/>
        <c:crossAx val="197742319"/>
        <c:crosses val="autoZero"/>
        <c:auto val="1"/>
        <c:lblAlgn val="ctr"/>
        <c:lblOffset val="100"/>
        <c:noMultiLvlLbl val="0"/>
      </c:catAx>
      <c:valAx>
        <c:axId val="197742319"/>
        <c:scaling>
          <c:orientation val="minMax"/>
          <c:max val="1"/>
          <c:min val="0"/>
        </c:scaling>
        <c:delete val="1"/>
        <c:axPos val="b"/>
        <c:majorGridlines>
          <c:spPr>
            <a:ln w="9525" cap="flat" cmpd="sng" algn="ctr">
              <a:noFill/>
              <a:round/>
            </a:ln>
            <a:effectLst/>
          </c:spPr>
        </c:majorGridlines>
        <c:numFmt formatCode="0.00%" sourceLinked="1"/>
        <c:majorTickMark val="out"/>
        <c:minorTickMark val="none"/>
        <c:tickLblPos val="nextTo"/>
        <c:crossAx val="197736559"/>
        <c:crosses val="autoZero"/>
        <c:crossBetween val="between"/>
      </c:valAx>
      <c:spPr>
        <a:blipFill>
          <a:blip xmlns:r="http://schemas.openxmlformats.org/officeDocument/2006/relationships" r:embed="rId3"/>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6812442676519877E-2"/>
          <c:w val="1"/>
          <c:h val="0.97318755732348017"/>
        </c:manualLayout>
      </c:layout>
      <c:barChart>
        <c:barDir val="bar"/>
        <c:grouping val="clustered"/>
        <c:varyColors val="0"/>
        <c:ser>
          <c:idx val="0"/>
          <c:order val="0"/>
          <c:spPr>
            <a:solidFill>
              <a:schemeClr val="accent1"/>
            </a:solidFill>
            <a:ln>
              <a:noFill/>
            </a:ln>
            <a:effectLst/>
          </c:spPr>
          <c:invertIfNegative val="0"/>
          <c:val>
            <c:numRef>
              <c:f>Diagramm!$L$17</c:f>
              <c:numCache>
                <c:formatCode>0.00%</c:formatCode>
                <c:ptCount val="1"/>
                <c:pt idx="0">
                  <c:v>0.05</c:v>
                </c:pt>
              </c:numCache>
            </c:numRef>
          </c:val>
          <c:extLst>
            <c:ext xmlns:c16="http://schemas.microsoft.com/office/drawing/2014/chart" uri="{C3380CC4-5D6E-409C-BE32-E72D297353CC}">
              <c16:uniqueId val="{00000000-FF88-4AB6-8D62-8E830D206A4D}"/>
            </c:ext>
          </c:extLst>
        </c:ser>
        <c:dLbls>
          <c:showLegendKey val="0"/>
          <c:showVal val="0"/>
          <c:showCatName val="0"/>
          <c:showSerName val="0"/>
          <c:showPercent val="0"/>
          <c:showBubbleSize val="0"/>
        </c:dLbls>
        <c:gapWidth val="10"/>
        <c:axId val="197736559"/>
        <c:axId val="197742319"/>
      </c:barChart>
      <c:catAx>
        <c:axId val="197736559"/>
        <c:scaling>
          <c:orientation val="minMax"/>
        </c:scaling>
        <c:delete val="1"/>
        <c:axPos val="l"/>
        <c:majorTickMark val="out"/>
        <c:minorTickMark val="none"/>
        <c:tickLblPos val="nextTo"/>
        <c:crossAx val="197742319"/>
        <c:crosses val="autoZero"/>
        <c:auto val="1"/>
        <c:lblAlgn val="ctr"/>
        <c:lblOffset val="100"/>
        <c:noMultiLvlLbl val="0"/>
      </c:catAx>
      <c:valAx>
        <c:axId val="197742319"/>
        <c:scaling>
          <c:orientation val="minMax"/>
          <c:max val="1"/>
        </c:scaling>
        <c:delete val="1"/>
        <c:axPos val="b"/>
        <c:majorGridlines>
          <c:spPr>
            <a:ln w="9525" cap="flat" cmpd="sng" algn="ctr">
              <a:noFill/>
              <a:round/>
            </a:ln>
            <a:effectLst/>
          </c:spPr>
        </c:majorGridlines>
        <c:numFmt formatCode="0.00%" sourceLinked="1"/>
        <c:majorTickMark val="out"/>
        <c:minorTickMark val="none"/>
        <c:tickLblPos val="nextTo"/>
        <c:crossAx val="197736559"/>
        <c:crosses val="autoZero"/>
        <c:crossBetween val="between"/>
      </c:valAx>
      <c:spPr>
        <a:blipFill>
          <a:blip xmlns:r="http://schemas.openxmlformats.org/officeDocument/2006/relationships" r:embed="rId3"/>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6812442676519877E-2"/>
          <c:w val="1"/>
          <c:h val="0.97318755732348017"/>
        </c:manualLayout>
      </c:layout>
      <c:barChart>
        <c:barDir val="bar"/>
        <c:grouping val="clustered"/>
        <c:varyColors val="0"/>
        <c:ser>
          <c:idx val="0"/>
          <c:order val="0"/>
          <c:spPr>
            <a:solidFill>
              <a:schemeClr val="accent1"/>
            </a:solidFill>
            <a:ln>
              <a:noFill/>
            </a:ln>
            <a:effectLst/>
          </c:spPr>
          <c:invertIfNegative val="0"/>
          <c:val>
            <c:numRef>
              <c:f>Diagramm!$L$19</c:f>
              <c:numCache>
                <c:formatCode>0.00%</c:formatCode>
                <c:ptCount val="1"/>
                <c:pt idx="0">
                  <c:v>0.05</c:v>
                </c:pt>
              </c:numCache>
            </c:numRef>
          </c:val>
          <c:extLst>
            <c:ext xmlns:c16="http://schemas.microsoft.com/office/drawing/2014/chart" uri="{C3380CC4-5D6E-409C-BE32-E72D297353CC}">
              <c16:uniqueId val="{00000000-AAA0-4FB1-8FC7-8432D0FB9803}"/>
            </c:ext>
          </c:extLst>
        </c:ser>
        <c:dLbls>
          <c:showLegendKey val="0"/>
          <c:showVal val="0"/>
          <c:showCatName val="0"/>
          <c:showSerName val="0"/>
          <c:showPercent val="0"/>
          <c:showBubbleSize val="0"/>
        </c:dLbls>
        <c:gapWidth val="10"/>
        <c:axId val="197736559"/>
        <c:axId val="197742319"/>
      </c:barChart>
      <c:catAx>
        <c:axId val="197736559"/>
        <c:scaling>
          <c:orientation val="minMax"/>
        </c:scaling>
        <c:delete val="1"/>
        <c:axPos val="l"/>
        <c:majorTickMark val="out"/>
        <c:minorTickMark val="none"/>
        <c:tickLblPos val="nextTo"/>
        <c:crossAx val="197742319"/>
        <c:crosses val="autoZero"/>
        <c:auto val="1"/>
        <c:lblAlgn val="ctr"/>
        <c:lblOffset val="100"/>
        <c:noMultiLvlLbl val="0"/>
      </c:catAx>
      <c:valAx>
        <c:axId val="197742319"/>
        <c:scaling>
          <c:orientation val="minMax"/>
          <c:max val="1"/>
        </c:scaling>
        <c:delete val="1"/>
        <c:axPos val="b"/>
        <c:majorGridlines>
          <c:spPr>
            <a:ln w="9525" cap="flat" cmpd="sng" algn="ctr">
              <a:noFill/>
              <a:round/>
            </a:ln>
            <a:effectLst/>
          </c:spPr>
        </c:majorGridlines>
        <c:numFmt formatCode="0.00%" sourceLinked="1"/>
        <c:majorTickMark val="out"/>
        <c:minorTickMark val="none"/>
        <c:tickLblPos val="nextTo"/>
        <c:crossAx val="197736559"/>
        <c:crosses val="autoZero"/>
        <c:crossBetween val="between"/>
      </c:valAx>
      <c:spPr>
        <a:blipFill>
          <a:blip xmlns:r="http://schemas.openxmlformats.org/officeDocument/2006/relationships" r:embed="rId3"/>
          <a:stretch>
            <a:fillRect/>
          </a:stretch>
        </a:blip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8.xml"/><Relationship Id="rId7" Type="http://schemas.openxmlformats.org/officeDocument/2006/relationships/image" Target="../media/image6.png"/><Relationship Id="rId2" Type="http://schemas.openxmlformats.org/officeDocument/2006/relationships/chart" Target="../charts/chart7.xml"/><Relationship Id="rId1" Type="http://schemas.openxmlformats.org/officeDocument/2006/relationships/image" Target="../media/image1.png"/><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 Id="rId9"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66675</xdr:rowOff>
    </xdr:from>
    <xdr:to>
      <xdr:col>1</xdr:col>
      <xdr:colOff>942975</xdr:colOff>
      <xdr:row>4</xdr:row>
      <xdr:rowOff>142875</xdr:rowOff>
    </xdr:to>
    <xdr:pic>
      <xdr:nvPicPr>
        <xdr:cNvPr id="3" name="Grafik 16">
          <a:extLst>
            <a:ext uri="{FF2B5EF4-FFF2-40B4-BE49-F238E27FC236}">
              <a16:creationId xmlns:a16="http://schemas.microsoft.com/office/drawing/2014/main" id="{A129B1D1-0C27-4E4B-9907-21796F3062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75" t="13049" r="44518" b="5322"/>
        <a:stretch>
          <a:fillRect/>
        </a:stretch>
      </xdr:blipFill>
      <xdr:spPr bwMode="auto">
        <a:xfrm>
          <a:off x="257175" y="66675"/>
          <a:ext cx="8763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104775</xdr:colOff>
      <xdr:row>14</xdr:row>
      <xdr:rowOff>76200</xdr:rowOff>
    </xdr:from>
    <xdr:to>
      <xdr:col>6</xdr:col>
      <xdr:colOff>600075</xdr:colOff>
      <xdr:row>15</xdr:row>
      <xdr:rowOff>114300</xdr:rowOff>
    </xdr:to>
    <xdr:sp macro="" textlink="">
      <xdr:nvSpPr>
        <xdr:cNvPr id="4" name="Pfeil: nach rechts 3">
          <a:extLst>
            <a:ext uri="{FF2B5EF4-FFF2-40B4-BE49-F238E27FC236}">
              <a16:creationId xmlns:a16="http://schemas.microsoft.com/office/drawing/2014/main" id="{6E123B4D-5D22-5AEF-9543-D71F762191FB}"/>
            </a:ext>
          </a:extLst>
        </xdr:cNvPr>
        <xdr:cNvSpPr/>
      </xdr:nvSpPr>
      <xdr:spPr>
        <a:xfrm>
          <a:off x="4676775" y="3048000"/>
          <a:ext cx="495300" cy="2286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64670</xdr:colOff>
      <xdr:row>0</xdr:row>
      <xdr:rowOff>47625</xdr:rowOff>
    </xdr:from>
    <xdr:to>
      <xdr:col>2</xdr:col>
      <xdr:colOff>316174</xdr:colOff>
      <xdr:row>4</xdr:row>
      <xdr:rowOff>146504</xdr:rowOff>
    </xdr:to>
    <xdr:pic>
      <xdr:nvPicPr>
        <xdr:cNvPr id="2" name="Grafik 16">
          <a:extLst>
            <a:ext uri="{FF2B5EF4-FFF2-40B4-BE49-F238E27FC236}">
              <a16:creationId xmlns:a16="http://schemas.microsoft.com/office/drawing/2014/main" id="{374CD0C4-DB44-49BB-B09E-62948D870D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75" t="13049" r="44518" b="5322"/>
        <a:stretch>
          <a:fillRect/>
        </a:stretch>
      </xdr:blipFill>
      <xdr:spPr bwMode="auto">
        <a:xfrm>
          <a:off x="255170" y="47625"/>
          <a:ext cx="894442" cy="900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63500</xdr:colOff>
      <xdr:row>0</xdr:row>
      <xdr:rowOff>47625</xdr:rowOff>
    </xdr:from>
    <xdr:to>
      <xdr:col>2</xdr:col>
      <xdr:colOff>509778</xdr:colOff>
      <xdr:row>4</xdr:row>
      <xdr:rowOff>162379</xdr:rowOff>
    </xdr:to>
    <xdr:pic>
      <xdr:nvPicPr>
        <xdr:cNvPr id="2" name="Grafik 16">
          <a:extLst>
            <a:ext uri="{FF2B5EF4-FFF2-40B4-BE49-F238E27FC236}">
              <a16:creationId xmlns:a16="http://schemas.microsoft.com/office/drawing/2014/main" id="{5AA432DF-C4D6-4A24-8BCF-29AC839B8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75" t="13049" r="44518" b="5322"/>
        <a:stretch>
          <a:fillRect/>
        </a:stretch>
      </xdr:blipFill>
      <xdr:spPr bwMode="auto">
        <a:xfrm>
          <a:off x="238125" y="47625"/>
          <a:ext cx="894442" cy="908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14</xdr:row>
      <xdr:rowOff>0</xdr:rowOff>
    </xdr:from>
    <xdr:to>
      <xdr:col>9</xdr:col>
      <xdr:colOff>1957917</xdr:colOff>
      <xdr:row>15</xdr:row>
      <xdr:rowOff>0</xdr:rowOff>
    </xdr:to>
    <xdr:graphicFrame macro="">
      <xdr:nvGraphicFramePr>
        <xdr:cNvPr id="3" name="Diagramm 2">
          <a:extLst>
            <a:ext uri="{FF2B5EF4-FFF2-40B4-BE49-F238E27FC236}">
              <a16:creationId xmlns:a16="http://schemas.microsoft.com/office/drawing/2014/main" id="{53821300-D53C-4C15-8BFF-35885FA56C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16</xdr:row>
      <xdr:rowOff>0</xdr:rowOff>
    </xdr:from>
    <xdr:to>
      <xdr:col>9</xdr:col>
      <xdr:colOff>1957917</xdr:colOff>
      <xdr:row>17</xdr:row>
      <xdr:rowOff>1</xdr:rowOff>
    </xdr:to>
    <xdr:graphicFrame macro="">
      <xdr:nvGraphicFramePr>
        <xdr:cNvPr id="5" name="Diagramm 4">
          <a:extLst>
            <a:ext uri="{FF2B5EF4-FFF2-40B4-BE49-F238E27FC236}">
              <a16:creationId xmlns:a16="http://schemas.microsoft.com/office/drawing/2014/main" id="{2F6D016C-9C6C-464F-80BB-1F648BDBA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18</xdr:row>
      <xdr:rowOff>0</xdr:rowOff>
    </xdr:from>
    <xdr:to>
      <xdr:col>9</xdr:col>
      <xdr:colOff>1957917</xdr:colOff>
      <xdr:row>19</xdr:row>
      <xdr:rowOff>1</xdr:rowOff>
    </xdr:to>
    <xdr:graphicFrame macro="">
      <xdr:nvGraphicFramePr>
        <xdr:cNvPr id="6" name="Diagramm 5">
          <a:extLst>
            <a:ext uri="{FF2B5EF4-FFF2-40B4-BE49-F238E27FC236}">
              <a16:creationId xmlns:a16="http://schemas.microsoft.com/office/drawing/2014/main" id="{5849F3DE-513A-4CD4-829A-5E13AB711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20</xdr:row>
      <xdr:rowOff>0</xdr:rowOff>
    </xdr:from>
    <xdr:to>
      <xdr:col>9</xdr:col>
      <xdr:colOff>1957917</xdr:colOff>
      <xdr:row>21</xdr:row>
      <xdr:rowOff>0</xdr:rowOff>
    </xdr:to>
    <xdr:graphicFrame macro="">
      <xdr:nvGraphicFramePr>
        <xdr:cNvPr id="8" name="Diagramm 7">
          <a:extLst>
            <a:ext uri="{FF2B5EF4-FFF2-40B4-BE49-F238E27FC236}">
              <a16:creationId xmlns:a16="http://schemas.microsoft.com/office/drawing/2014/main" id="{8B8F7BEE-6A4E-435E-AB96-EF18B8515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xdr:row>
      <xdr:rowOff>0</xdr:rowOff>
    </xdr:from>
    <xdr:to>
      <xdr:col>9</xdr:col>
      <xdr:colOff>1957917</xdr:colOff>
      <xdr:row>11</xdr:row>
      <xdr:rowOff>1</xdr:rowOff>
    </xdr:to>
    <xdr:graphicFrame macro="">
      <xdr:nvGraphicFramePr>
        <xdr:cNvPr id="10" name="Diagramm 9">
          <a:extLst>
            <a:ext uri="{FF2B5EF4-FFF2-40B4-BE49-F238E27FC236}">
              <a16:creationId xmlns:a16="http://schemas.microsoft.com/office/drawing/2014/main" id="{966ABC50-F865-43B6-A563-11FC9784C1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xdr:col>
      <xdr:colOff>0</xdr:colOff>
      <xdr:row>22</xdr:row>
      <xdr:rowOff>0</xdr:rowOff>
    </xdr:from>
    <xdr:to>
      <xdr:col>10</xdr:col>
      <xdr:colOff>294409</xdr:colOff>
      <xdr:row>22</xdr:row>
      <xdr:rowOff>216478</xdr:rowOff>
    </xdr:to>
    <xdr:pic>
      <xdr:nvPicPr>
        <xdr:cNvPr id="28" name="Grafik 27">
          <a:extLst>
            <a:ext uri="{FF2B5EF4-FFF2-40B4-BE49-F238E27FC236}">
              <a16:creationId xmlns:a16="http://schemas.microsoft.com/office/drawing/2014/main" id="{E9B2872A-A92B-4989-AECA-615F4438935F}"/>
            </a:ext>
          </a:extLst>
        </xdr:cNvPr>
        <xdr:cNvPicPr>
          <a:picLocks noChangeAspect="1"/>
        </xdr:cNvPicPr>
      </xdr:nvPicPr>
      <xdr:blipFill>
        <a:blip xmlns:r="http://schemas.openxmlformats.org/officeDocument/2006/relationships" r:embed="rId7"/>
        <a:stretch>
          <a:fillRect/>
        </a:stretch>
      </xdr:blipFill>
      <xdr:spPr>
        <a:xfrm>
          <a:off x="3905250" y="6780068"/>
          <a:ext cx="6676159" cy="216478"/>
        </a:xfrm>
        <a:prstGeom prst="rect">
          <a:avLst/>
        </a:prstGeom>
      </xdr:spPr>
    </xdr:pic>
    <xdr:clientData/>
  </xdr:twoCellAnchor>
  <xdr:twoCellAnchor>
    <xdr:from>
      <xdr:col>5</xdr:col>
      <xdr:colOff>0</xdr:colOff>
      <xdr:row>12</xdr:row>
      <xdr:rowOff>0</xdr:rowOff>
    </xdr:from>
    <xdr:to>
      <xdr:col>9</xdr:col>
      <xdr:colOff>1952144</xdr:colOff>
      <xdr:row>13</xdr:row>
      <xdr:rowOff>0</xdr:rowOff>
    </xdr:to>
    <xdr:graphicFrame macro="">
      <xdr:nvGraphicFramePr>
        <xdr:cNvPr id="29" name="Diagramm 28">
          <a:extLst>
            <a:ext uri="{FF2B5EF4-FFF2-40B4-BE49-F238E27FC236}">
              <a16:creationId xmlns:a16="http://schemas.microsoft.com/office/drawing/2014/main" id="{6D2472BC-75AB-499E-9378-12FDC2AB1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1702593</xdr:colOff>
      <xdr:row>8</xdr:row>
      <xdr:rowOff>130969</xdr:rowOff>
    </xdr:from>
    <xdr:to>
      <xdr:col>11</xdr:col>
      <xdr:colOff>11906</xdr:colOff>
      <xdr:row>23</xdr:row>
      <xdr:rowOff>130968</xdr:rowOff>
    </xdr:to>
    <xdr:graphicFrame macro="">
      <xdr:nvGraphicFramePr>
        <xdr:cNvPr id="31" name="Diagramm 30">
          <a:extLst>
            <a:ext uri="{FF2B5EF4-FFF2-40B4-BE49-F238E27FC236}">
              <a16:creationId xmlns:a16="http://schemas.microsoft.com/office/drawing/2014/main" id="{C1230A3F-4E6C-248E-327B-44A0E6292F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210668</xdr:colOff>
      <xdr:row>0</xdr:row>
      <xdr:rowOff>368104</xdr:rowOff>
    </xdr:from>
    <xdr:to>
      <xdr:col>1</xdr:col>
      <xdr:colOff>1763462</xdr:colOff>
      <xdr:row>0</xdr:row>
      <xdr:rowOff>710054</xdr:rowOff>
    </xdr:to>
    <xdr:sp macro="" textlink="">
      <xdr:nvSpPr>
        <xdr:cNvPr id="4" name="Rettangolo 7">
          <a:extLst>
            <a:ext uri="{FF2B5EF4-FFF2-40B4-BE49-F238E27FC236}">
              <a16:creationId xmlns:a16="http://schemas.microsoft.com/office/drawing/2014/main" id="{B9C4FDF0-68FC-4677-9A16-040BA468AC6E}"/>
            </a:ext>
          </a:extLst>
        </xdr:cNvPr>
        <xdr:cNvSpPr/>
      </xdr:nvSpPr>
      <xdr:spPr>
        <a:xfrm rot="20414945">
          <a:off x="248768" y="368104"/>
          <a:ext cx="1552794" cy="341950"/>
        </a:xfrm>
        <a:prstGeom prst="rect">
          <a:avLst/>
        </a:prstGeom>
        <a:solidFill>
          <a:schemeClr val="bg1"/>
        </a:solidFill>
        <a:ln>
          <a:solidFill>
            <a:schemeClr val="bg1"/>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endParaRPr lang="de-DE"/>
        </a:p>
      </xdr:txBody>
    </xdr:sp>
    <xdr:clientData/>
  </xdr:twoCellAnchor>
  <xdr:twoCellAnchor editAs="oneCell">
    <xdr:from>
      <xdr:col>1</xdr:col>
      <xdr:colOff>19050</xdr:colOff>
      <xdr:row>0</xdr:row>
      <xdr:rowOff>0</xdr:rowOff>
    </xdr:from>
    <xdr:to>
      <xdr:col>1</xdr:col>
      <xdr:colOff>1838325</xdr:colOff>
      <xdr:row>0</xdr:row>
      <xdr:rowOff>990600</xdr:rowOff>
    </xdr:to>
    <xdr:pic>
      <xdr:nvPicPr>
        <xdr:cNvPr id="5" name="Grafik 1">
          <a:extLst>
            <a:ext uri="{FF2B5EF4-FFF2-40B4-BE49-F238E27FC236}">
              <a16:creationId xmlns:a16="http://schemas.microsoft.com/office/drawing/2014/main" id="{B1EB2081-6D7D-4CFE-BA55-244656C1C3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8192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295275</xdr:colOff>
      <xdr:row>8</xdr:row>
      <xdr:rowOff>190500</xdr:rowOff>
    </xdr:from>
    <xdr:to>
      <xdr:col>1</xdr:col>
      <xdr:colOff>2762250</xdr:colOff>
      <xdr:row>8</xdr:row>
      <xdr:rowOff>1428750</xdr:rowOff>
    </xdr:to>
    <xdr:pic>
      <xdr:nvPicPr>
        <xdr:cNvPr id="7" name="Grafik 3" descr="etikette_quer_kl_dt.jpg">
          <a:extLst>
            <a:ext uri="{FF2B5EF4-FFF2-40B4-BE49-F238E27FC236}">
              <a16:creationId xmlns:a16="http://schemas.microsoft.com/office/drawing/2014/main" id="{0C9FB486-76F0-4C0C-B5A2-763EC6E260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5295900"/>
          <a:ext cx="24669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66675</xdr:rowOff>
    </xdr:from>
    <xdr:to>
      <xdr:col>1</xdr:col>
      <xdr:colOff>943655</xdr:colOff>
      <xdr:row>4</xdr:row>
      <xdr:rowOff>149679</xdr:rowOff>
    </xdr:to>
    <xdr:pic>
      <xdr:nvPicPr>
        <xdr:cNvPr id="2" name="Grafik 16">
          <a:extLst>
            <a:ext uri="{FF2B5EF4-FFF2-40B4-BE49-F238E27FC236}">
              <a16:creationId xmlns:a16="http://schemas.microsoft.com/office/drawing/2014/main" id="{086DFC1F-64DC-4652-9672-4382660143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75" t="13049" r="44518" b="5322"/>
        <a:stretch>
          <a:fillRect/>
        </a:stretch>
      </xdr:blipFill>
      <xdr:spPr bwMode="auto">
        <a:xfrm>
          <a:off x="247650" y="66675"/>
          <a:ext cx="886505" cy="883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1943100</xdr:colOff>
      <xdr:row>33</xdr:row>
      <xdr:rowOff>0</xdr:rowOff>
    </xdr:from>
    <xdr:to>
      <xdr:col>4</xdr:col>
      <xdr:colOff>28575</xdr:colOff>
      <xdr:row>34</xdr:row>
      <xdr:rowOff>0</xdr:rowOff>
    </xdr:to>
    <xdr:pic>
      <xdr:nvPicPr>
        <xdr:cNvPr id="3" name="Grafik 2">
          <a:extLst>
            <a:ext uri="{FF2B5EF4-FFF2-40B4-BE49-F238E27FC236}">
              <a16:creationId xmlns:a16="http://schemas.microsoft.com/office/drawing/2014/main" id="{1B1CBEAE-B77E-183C-9A61-19D0D7739938}"/>
            </a:ext>
          </a:extLst>
        </xdr:cNvPr>
        <xdr:cNvPicPr>
          <a:picLocks noChangeAspect="1"/>
        </xdr:cNvPicPr>
      </xdr:nvPicPr>
      <xdr:blipFill rotWithShape="1">
        <a:blip xmlns:r="http://schemas.openxmlformats.org/officeDocument/2006/relationships" r:embed="rId2"/>
        <a:srcRect r="17311" b="14"/>
        <a:stretch/>
      </xdr:blipFill>
      <xdr:spPr>
        <a:xfrm>
          <a:off x="6305550" y="6877050"/>
          <a:ext cx="1866900" cy="228600"/>
        </a:xfrm>
        <a:prstGeom prst="rect">
          <a:avLst/>
        </a:prstGeom>
      </xdr:spPr>
    </xdr:pic>
    <xdr:clientData/>
  </xdr:twoCellAnchor>
  <xdr:twoCellAnchor>
    <xdr:from>
      <xdr:col>3</xdr:col>
      <xdr:colOff>1933575</xdr:colOff>
      <xdr:row>33</xdr:row>
      <xdr:rowOff>0</xdr:rowOff>
    </xdr:from>
    <xdr:to>
      <xdr:col>4</xdr:col>
      <xdr:colOff>19050</xdr:colOff>
      <xdr:row>34</xdr:row>
      <xdr:rowOff>0</xdr:rowOff>
    </xdr:to>
    <xdr:cxnSp macro="">
      <xdr:nvCxnSpPr>
        <xdr:cNvPr id="5" name="Gerader Verbinder 4">
          <a:extLst>
            <a:ext uri="{FF2B5EF4-FFF2-40B4-BE49-F238E27FC236}">
              <a16:creationId xmlns:a16="http://schemas.microsoft.com/office/drawing/2014/main" id="{70608034-B885-8E39-14B8-2977D069DC69}"/>
            </a:ext>
          </a:extLst>
        </xdr:cNvPr>
        <xdr:cNvCxnSpPr/>
      </xdr:nvCxnSpPr>
      <xdr:spPr>
        <a:xfrm flipH="1" flipV="1">
          <a:off x="6296025" y="6877050"/>
          <a:ext cx="1866900" cy="22860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985557</xdr:colOff>
      <xdr:row>28</xdr:row>
      <xdr:rowOff>3081</xdr:rowOff>
    </xdr:from>
    <xdr:to>
      <xdr:col>3</xdr:col>
      <xdr:colOff>2709582</xdr:colOff>
      <xdr:row>42</xdr:row>
      <xdr:rowOff>79281</xdr:rowOff>
    </xdr:to>
    <xdr:graphicFrame macro="">
      <xdr:nvGraphicFramePr>
        <xdr:cNvPr id="4" name="Diagramm 3">
          <a:extLst>
            <a:ext uri="{FF2B5EF4-FFF2-40B4-BE49-F238E27FC236}">
              <a16:creationId xmlns:a16="http://schemas.microsoft.com/office/drawing/2014/main" id="{23619768-33B5-D6CD-098B-FD3202F726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59086</xdr:colOff>
      <xdr:row>0</xdr:row>
      <xdr:rowOff>59597</xdr:rowOff>
    </xdr:from>
    <xdr:to>
      <xdr:col>2</xdr:col>
      <xdr:colOff>285445</xdr:colOff>
      <xdr:row>4</xdr:row>
      <xdr:rowOff>139261</xdr:rowOff>
    </xdr:to>
    <xdr:pic>
      <xdr:nvPicPr>
        <xdr:cNvPr id="2" name="Grafik 16">
          <a:extLst>
            <a:ext uri="{FF2B5EF4-FFF2-40B4-BE49-F238E27FC236}">
              <a16:creationId xmlns:a16="http://schemas.microsoft.com/office/drawing/2014/main" id="{0BC92ED8-9F5C-4827-AA34-A1EA79A8E1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275" t="13049" r="44518" b="5322"/>
        <a:stretch>
          <a:fillRect/>
        </a:stretch>
      </xdr:blipFill>
      <xdr:spPr bwMode="auto">
        <a:xfrm>
          <a:off x="249586" y="59597"/>
          <a:ext cx="875791"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804862</xdr:colOff>
      <xdr:row>30</xdr:row>
      <xdr:rowOff>2381</xdr:rowOff>
    </xdr:from>
    <xdr:to>
      <xdr:col>3</xdr:col>
      <xdr:colOff>2690812</xdr:colOff>
      <xdr:row>44</xdr:row>
      <xdr:rowOff>78581</xdr:rowOff>
    </xdr:to>
    <xdr:graphicFrame macro="">
      <xdr:nvGraphicFramePr>
        <xdr:cNvPr id="3" name="Diagramm 2">
          <a:extLst>
            <a:ext uri="{FF2B5EF4-FFF2-40B4-BE49-F238E27FC236}">
              <a16:creationId xmlns:a16="http://schemas.microsoft.com/office/drawing/2014/main" id="{9C66AEE1-4CB9-41EE-B997-A1D550037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65484</xdr:colOff>
      <xdr:row>0</xdr:row>
      <xdr:rowOff>71438</xdr:rowOff>
    </xdr:from>
    <xdr:to>
      <xdr:col>2</xdr:col>
      <xdr:colOff>302021</xdr:colOff>
      <xdr:row>4</xdr:row>
      <xdr:rowOff>147638</xdr:rowOff>
    </xdr:to>
    <xdr:pic>
      <xdr:nvPicPr>
        <xdr:cNvPr id="4" name="Grafik 16">
          <a:extLst>
            <a:ext uri="{FF2B5EF4-FFF2-40B4-BE49-F238E27FC236}">
              <a16:creationId xmlns:a16="http://schemas.microsoft.com/office/drawing/2014/main" id="{4293206C-1047-4EFC-8DD5-30F8267628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275" t="13049" r="44518" b="5322"/>
        <a:stretch>
          <a:fillRect/>
        </a:stretch>
      </xdr:blipFill>
      <xdr:spPr bwMode="auto">
        <a:xfrm>
          <a:off x="255984" y="71438"/>
          <a:ext cx="880059" cy="883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973931</xdr:colOff>
      <xdr:row>32</xdr:row>
      <xdr:rowOff>2380</xdr:rowOff>
    </xdr:from>
    <xdr:to>
      <xdr:col>3</xdr:col>
      <xdr:colOff>2697956</xdr:colOff>
      <xdr:row>46</xdr:row>
      <xdr:rowOff>88105</xdr:rowOff>
    </xdr:to>
    <xdr:graphicFrame macro="">
      <xdr:nvGraphicFramePr>
        <xdr:cNvPr id="3" name="Diagramm 2">
          <a:extLst>
            <a:ext uri="{FF2B5EF4-FFF2-40B4-BE49-F238E27FC236}">
              <a16:creationId xmlns:a16="http://schemas.microsoft.com/office/drawing/2014/main" id="{87B1363B-E2DA-42ED-9D7C-5D2643F54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63500</xdr:colOff>
      <xdr:row>0</xdr:row>
      <xdr:rowOff>63500</xdr:rowOff>
    </xdr:from>
    <xdr:to>
      <xdr:col>2</xdr:col>
      <xdr:colOff>304422</xdr:colOff>
      <xdr:row>4</xdr:row>
      <xdr:rowOff>142271</xdr:rowOff>
    </xdr:to>
    <xdr:pic>
      <xdr:nvPicPr>
        <xdr:cNvPr id="5" name="Grafik 16">
          <a:extLst>
            <a:ext uri="{FF2B5EF4-FFF2-40B4-BE49-F238E27FC236}">
              <a16:creationId xmlns:a16="http://schemas.microsoft.com/office/drawing/2014/main" id="{49A3F063-772C-445E-9690-335A8F4AFD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275" t="13049" r="44518" b="5322"/>
        <a:stretch>
          <a:fillRect/>
        </a:stretch>
      </xdr:blipFill>
      <xdr:spPr bwMode="auto">
        <a:xfrm>
          <a:off x="254000" y="63500"/>
          <a:ext cx="886505" cy="883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983457</xdr:colOff>
      <xdr:row>28</xdr:row>
      <xdr:rowOff>188118</xdr:rowOff>
    </xdr:from>
    <xdr:to>
      <xdr:col>3</xdr:col>
      <xdr:colOff>2707482</xdr:colOff>
      <xdr:row>43</xdr:row>
      <xdr:rowOff>73818</xdr:rowOff>
    </xdr:to>
    <xdr:graphicFrame macro="">
      <xdr:nvGraphicFramePr>
        <xdr:cNvPr id="3" name="Diagramm 2">
          <a:extLst>
            <a:ext uri="{FF2B5EF4-FFF2-40B4-BE49-F238E27FC236}">
              <a16:creationId xmlns:a16="http://schemas.microsoft.com/office/drawing/2014/main" id="{7288E072-C5E0-49BD-8E15-C229C60472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67470</xdr:colOff>
      <xdr:row>0</xdr:row>
      <xdr:rowOff>70114</xdr:rowOff>
    </xdr:from>
    <xdr:to>
      <xdr:col>2</xdr:col>
      <xdr:colOff>311037</xdr:colOff>
      <xdr:row>4</xdr:row>
      <xdr:rowOff>143593</xdr:rowOff>
    </xdr:to>
    <xdr:pic>
      <xdr:nvPicPr>
        <xdr:cNvPr id="4" name="Grafik 16">
          <a:extLst>
            <a:ext uri="{FF2B5EF4-FFF2-40B4-BE49-F238E27FC236}">
              <a16:creationId xmlns:a16="http://schemas.microsoft.com/office/drawing/2014/main" id="{A13ECE9D-26A7-4732-9CD8-CEA7ED8816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275" t="13049" r="44518" b="5322"/>
        <a:stretch>
          <a:fillRect/>
        </a:stretch>
      </xdr:blipFill>
      <xdr:spPr bwMode="auto">
        <a:xfrm>
          <a:off x="257970" y="70114"/>
          <a:ext cx="886505" cy="883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998008</xdr:colOff>
      <xdr:row>33</xdr:row>
      <xdr:rowOff>16521</xdr:rowOff>
    </xdr:from>
    <xdr:to>
      <xdr:col>4</xdr:col>
      <xdr:colOff>5644</xdr:colOff>
      <xdr:row>47</xdr:row>
      <xdr:rowOff>92721</xdr:rowOff>
    </xdr:to>
    <xdr:graphicFrame macro="">
      <xdr:nvGraphicFramePr>
        <xdr:cNvPr id="3" name="Diagramm 2">
          <a:extLst>
            <a:ext uri="{FF2B5EF4-FFF2-40B4-BE49-F238E27FC236}">
              <a16:creationId xmlns:a16="http://schemas.microsoft.com/office/drawing/2014/main" id="{21B864F9-0EC9-4CAA-B7BF-3ACF4185A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70555</xdr:colOff>
      <xdr:row>0</xdr:row>
      <xdr:rowOff>58796</xdr:rowOff>
    </xdr:from>
    <xdr:to>
      <xdr:col>2</xdr:col>
      <xdr:colOff>318238</xdr:colOff>
      <xdr:row>4</xdr:row>
      <xdr:rowOff>158145</xdr:rowOff>
    </xdr:to>
    <xdr:pic>
      <xdr:nvPicPr>
        <xdr:cNvPr id="4" name="Grafik 16">
          <a:extLst>
            <a:ext uri="{FF2B5EF4-FFF2-40B4-BE49-F238E27FC236}">
              <a16:creationId xmlns:a16="http://schemas.microsoft.com/office/drawing/2014/main" id="{D63F67F2-09D5-4892-AB5F-7228FF84E1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275" t="13049" r="44518" b="5322"/>
        <a:stretch>
          <a:fillRect/>
        </a:stretch>
      </xdr:blipFill>
      <xdr:spPr bwMode="auto">
        <a:xfrm>
          <a:off x="258703" y="58796"/>
          <a:ext cx="894442" cy="898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816769</xdr:colOff>
      <xdr:row>24</xdr:row>
      <xdr:rowOff>14287</xdr:rowOff>
    </xdr:from>
    <xdr:to>
      <xdr:col>3</xdr:col>
      <xdr:colOff>2702719</xdr:colOff>
      <xdr:row>38</xdr:row>
      <xdr:rowOff>90487</xdr:rowOff>
    </xdr:to>
    <xdr:graphicFrame macro="">
      <xdr:nvGraphicFramePr>
        <xdr:cNvPr id="3" name="Diagramm 2">
          <a:extLst>
            <a:ext uri="{FF2B5EF4-FFF2-40B4-BE49-F238E27FC236}">
              <a16:creationId xmlns:a16="http://schemas.microsoft.com/office/drawing/2014/main" id="{2D8B2C23-D7BB-4696-A3AD-4814AACAE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77391</xdr:colOff>
      <xdr:row>0</xdr:row>
      <xdr:rowOff>59532</xdr:rowOff>
    </xdr:from>
    <xdr:to>
      <xdr:col>2</xdr:col>
      <xdr:colOff>322942</xdr:colOff>
      <xdr:row>4</xdr:row>
      <xdr:rowOff>148886</xdr:rowOff>
    </xdr:to>
    <xdr:pic>
      <xdr:nvPicPr>
        <xdr:cNvPr id="5" name="Grafik 16">
          <a:extLst>
            <a:ext uri="{FF2B5EF4-FFF2-40B4-BE49-F238E27FC236}">
              <a16:creationId xmlns:a16="http://schemas.microsoft.com/office/drawing/2014/main" id="{48049B29-01C6-4C27-B333-2D4015900C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275" t="13049" r="44518" b="5322"/>
        <a:stretch>
          <a:fillRect/>
        </a:stretch>
      </xdr:blipFill>
      <xdr:spPr bwMode="auto">
        <a:xfrm>
          <a:off x="267891" y="59532"/>
          <a:ext cx="894442" cy="898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359E-3F65-48DF-A9EB-62C43041008A}">
  <sheetPr>
    <pageSetUpPr fitToPage="1"/>
  </sheetPr>
  <dimension ref="A1:L23"/>
  <sheetViews>
    <sheetView zoomScale="90" zoomScaleNormal="90" workbookViewId="0">
      <selection activeCell="N10" sqref="N10"/>
    </sheetView>
  </sheetViews>
  <sheetFormatPr baseColWidth="10" defaultRowHeight="15" x14ac:dyDescent="0.25"/>
  <cols>
    <col min="1" max="1" width="2.85546875" customWidth="1"/>
    <col min="2" max="11" width="19" customWidth="1"/>
  </cols>
  <sheetData>
    <row r="1" spans="1:12" ht="15.95" customHeight="1" x14ac:dyDescent="0.25">
      <c r="A1" s="25"/>
      <c r="B1" s="2"/>
      <c r="C1" s="2"/>
      <c r="D1" s="2"/>
      <c r="E1" s="3"/>
      <c r="F1" s="3"/>
      <c r="G1" s="3"/>
      <c r="H1" s="3"/>
      <c r="I1" s="232"/>
      <c r="J1" s="232"/>
      <c r="K1" s="232"/>
      <c r="L1" s="25"/>
    </row>
    <row r="2" spans="1:12" ht="15.95" customHeight="1" x14ac:dyDescent="0.25">
      <c r="A2" s="25"/>
      <c r="B2" s="2"/>
      <c r="C2" s="2"/>
      <c r="D2" s="110"/>
      <c r="E2" s="111"/>
      <c r="F2" s="19" t="s">
        <v>2</v>
      </c>
      <c r="G2" s="19"/>
      <c r="H2" s="112"/>
      <c r="I2" s="18"/>
      <c r="J2" s="3"/>
      <c r="K2" s="3"/>
      <c r="L2" s="25"/>
    </row>
    <row r="3" spans="1:12" ht="15.95" customHeight="1" x14ac:dyDescent="0.25">
      <c r="A3" s="25"/>
      <c r="B3" s="2"/>
      <c r="C3" s="2"/>
      <c r="D3" s="110"/>
      <c r="E3" s="111"/>
      <c r="F3" s="20" t="s">
        <v>3</v>
      </c>
      <c r="G3" s="21"/>
      <c r="H3" s="112"/>
      <c r="I3" s="18"/>
      <c r="J3" s="3"/>
      <c r="K3" s="3"/>
      <c r="L3" s="25"/>
    </row>
    <row r="4" spans="1:12" ht="15.95" customHeight="1" x14ac:dyDescent="0.25">
      <c r="A4" s="25"/>
      <c r="B4" s="2"/>
      <c r="C4" s="2"/>
      <c r="D4" s="110"/>
      <c r="E4" s="111"/>
      <c r="F4" s="20" t="str">
        <f>'KlimaGemeinde Light'!D17</f>
        <v>Kugelschreiber</v>
      </c>
      <c r="G4" s="113"/>
      <c r="H4" s="112"/>
      <c r="I4" s="18"/>
      <c r="J4" s="3"/>
      <c r="K4" s="3"/>
      <c r="L4" s="25"/>
    </row>
    <row r="5" spans="1:12" ht="15.95" customHeight="1" x14ac:dyDescent="0.25">
      <c r="A5" s="25"/>
      <c r="B5" s="2"/>
      <c r="C5" s="2"/>
      <c r="D5" s="2"/>
      <c r="E5" s="3"/>
      <c r="F5" s="3"/>
      <c r="G5" s="3"/>
      <c r="H5" s="3"/>
      <c r="I5" s="232"/>
      <c r="J5" s="232"/>
      <c r="K5" s="232"/>
      <c r="L5" s="25"/>
    </row>
    <row r="6" spans="1:12" ht="15.75" customHeight="1" x14ac:dyDescent="0.25">
      <c r="A6" s="25"/>
      <c r="B6" s="25"/>
      <c r="C6" s="25"/>
      <c r="D6" s="25"/>
      <c r="E6" s="25"/>
      <c r="F6" s="25"/>
      <c r="G6" s="25"/>
      <c r="H6" s="25"/>
      <c r="I6" s="25"/>
      <c r="J6" s="25"/>
      <c r="K6" s="25"/>
      <c r="L6" s="25"/>
    </row>
    <row r="7" spans="1:12" ht="15.75" x14ac:dyDescent="0.25">
      <c r="A7" s="25"/>
      <c r="B7" s="233" t="s">
        <v>55</v>
      </c>
      <c r="C7" s="233"/>
      <c r="D7" s="233"/>
      <c r="E7" s="233"/>
      <c r="F7" s="233"/>
      <c r="G7" s="233"/>
      <c r="H7" s="233"/>
      <c r="I7" s="233"/>
      <c r="J7" s="233"/>
      <c r="K7" s="233"/>
      <c r="L7" s="25"/>
    </row>
    <row r="8" spans="1:12" ht="15.75" thickBot="1" x14ac:dyDescent="0.3">
      <c r="A8" s="25"/>
      <c r="B8" s="25"/>
      <c r="C8" s="25"/>
      <c r="D8" s="25"/>
      <c r="E8" s="25"/>
      <c r="F8" s="25"/>
      <c r="G8" s="25"/>
      <c r="H8" s="25"/>
      <c r="I8" s="25"/>
      <c r="J8" s="25"/>
      <c r="K8" s="25"/>
      <c r="L8" s="25"/>
    </row>
    <row r="9" spans="1:12" ht="24.95" customHeight="1" x14ac:dyDescent="0.25">
      <c r="A9" s="25"/>
      <c r="B9" s="214" t="s">
        <v>56</v>
      </c>
      <c r="C9" s="215"/>
      <c r="D9" s="215"/>
      <c r="E9" s="215"/>
      <c r="F9" s="216"/>
      <c r="G9" s="159"/>
      <c r="H9" s="159"/>
      <c r="I9" s="159"/>
      <c r="J9" s="159"/>
      <c r="K9" s="159"/>
      <c r="L9" s="25"/>
    </row>
    <row r="10" spans="1:12" ht="24.95" customHeight="1" thickBot="1" x14ac:dyDescent="0.3">
      <c r="A10" s="25"/>
      <c r="B10" s="217"/>
      <c r="C10" s="218"/>
      <c r="D10" s="218"/>
      <c r="E10" s="218"/>
      <c r="F10" s="219"/>
      <c r="G10" s="159"/>
      <c r="H10" s="159"/>
      <c r="I10" s="159"/>
      <c r="J10" s="159"/>
      <c r="K10" s="159"/>
      <c r="L10" s="25"/>
    </row>
    <row r="11" spans="1:12" ht="24.95" customHeight="1" thickBot="1" x14ac:dyDescent="0.3">
      <c r="A11" s="25"/>
      <c r="B11" s="159"/>
      <c r="C11" s="159"/>
      <c r="D11" s="159"/>
      <c r="E11" s="159"/>
      <c r="F11" s="159"/>
      <c r="G11" s="159"/>
      <c r="H11" s="159"/>
      <c r="I11" s="159"/>
      <c r="J11" s="159"/>
      <c r="K11" s="159"/>
      <c r="L11" s="25"/>
    </row>
    <row r="12" spans="1:12" ht="24.95" customHeight="1" thickBot="1" x14ac:dyDescent="0.3">
      <c r="A12" s="25"/>
      <c r="B12" s="214" t="s">
        <v>2</v>
      </c>
      <c r="C12" s="215"/>
      <c r="D12" s="215"/>
      <c r="E12" s="215"/>
      <c r="F12" s="216"/>
      <c r="G12" s="159"/>
      <c r="H12" s="159"/>
      <c r="I12" s="159"/>
      <c r="J12" s="159"/>
      <c r="K12" s="159"/>
      <c r="L12" s="25"/>
    </row>
    <row r="13" spans="1:12" ht="24.95" customHeight="1" thickBot="1" x14ac:dyDescent="0.3">
      <c r="A13" s="25"/>
      <c r="B13" s="217"/>
      <c r="C13" s="218"/>
      <c r="D13" s="218"/>
      <c r="E13" s="218"/>
      <c r="F13" s="219"/>
      <c r="G13" s="159"/>
      <c r="H13" s="234" t="s">
        <v>60</v>
      </c>
      <c r="I13" s="235"/>
      <c r="J13" s="235"/>
      <c r="K13" s="236"/>
      <c r="L13" s="25"/>
    </row>
    <row r="14" spans="1:12" ht="24.95" customHeight="1" thickBot="1" x14ac:dyDescent="0.3">
      <c r="A14" s="25"/>
      <c r="B14" s="159"/>
      <c r="C14" s="159"/>
      <c r="D14" s="159"/>
      <c r="E14" s="159"/>
      <c r="F14" s="159"/>
      <c r="G14" s="159"/>
      <c r="H14" s="209" t="s">
        <v>61</v>
      </c>
      <c r="I14" s="210"/>
      <c r="J14" s="211"/>
      <c r="K14" s="212"/>
      <c r="L14" s="25"/>
    </row>
    <row r="15" spans="1:12" ht="24.95" customHeight="1" x14ac:dyDescent="0.25">
      <c r="A15" s="25"/>
      <c r="B15" s="214" t="s">
        <v>57</v>
      </c>
      <c r="C15" s="215"/>
      <c r="D15" s="215"/>
      <c r="E15" s="215"/>
      <c r="F15" s="216"/>
      <c r="G15" s="159"/>
      <c r="H15" s="226" t="s">
        <v>62</v>
      </c>
      <c r="I15" s="227"/>
      <c r="J15" s="227"/>
      <c r="K15" s="228"/>
      <c r="L15" s="25"/>
    </row>
    <row r="16" spans="1:12" ht="24.95" customHeight="1" thickBot="1" x14ac:dyDescent="0.3">
      <c r="A16" s="25"/>
      <c r="B16" s="217"/>
      <c r="C16" s="218"/>
      <c r="D16" s="218"/>
      <c r="E16" s="218"/>
      <c r="F16" s="219"/>
      <c r="G16" s="159"/>
      <c r="H16" s="229" t="s">
        <v>63</v>
      </c>
      <c r="I16" s="230"/>
      <c r="J16" s="230"/>
      <c r="K16" s="231"/>
      <c r="L16" s="25"/>
    </row>
    <row r="17" spans="1:12" ht="24.95" customHeight="1" thickBot="1" x14ac:dyDescent="0.3">
      <c r="A17" s="25"/>
      <c r="B17" s="159"/>
      <c r="C17" s="159"/>
      <c r="D17" s="159"/>
      <c r="E17" s="159"/>
      <c r="F17" s="159"/>
      <c r="G17" s="159"/>
      <c r="H17" s="229" t="s">
        <v>64</v>
      </c>
      <c r="I17" s="230"/>
      <c r="J17" s="230"/>
      <c r="K17" s="231"/>
      <c r="L17" s="25"/>
    </row>
    <row r="18" spans="1:12" ht="24.95" customHeight="1" x14ac:dyDescent="0.25">
      <c r="A18" s="25"/>
      <c r="B18" s="214" t="s">
        <v>58</v>
      </c>
      <c r="C18" s="215"/>
      <c r="D18" s="215"/>
      <c r="E18" s="215"/>
      <c r="F18" s="216"/>
      <c r="G18" s="159"/>
      <c r="H18" s="220" t="s">
        <v>65</v>
      </c>
      <c r="I18" s="221"/>
      <c r="J18" s="221"/>
      <c r="K18" s="222"/>
      <c r="L18" s="25"/>
    </row>
    <row r="19" spans="1:12" ht="24.95" customHeight="1" thickBot="1" x14ac:dyDescent="0.3">
      <c r="A19" s="25"/>
      <c r="B19" s="217"/>
      <c r="C19" s="218"/>
      <c r="D19" s="218"/>
      <c r="E19" s="218"/>
      <c r="F19" s="219"/>
      <c r="G19" s="159"/>
      <c r="H19" s="223" t="s">
        <v>66</v>
      </c>
      <c r="I19" s="224"/>
      <c r="J19" s="224"/>
      <c r="K19" s="225"/>
      <c r="L19" s="25"/>
    </row>
    <row r="20" spans="1:12" ht="24.95" customHeight="1" thickBot="1" x14ac:dyDescent="0.3">
      <c r="A20" s="25"/>
      <c r="B20" s="159"/>
      <c r="C20" s="159"/>
      <c r="D20" s="159"/>
      <c r="E20" s="159"/>
      <c r="F20" s="159"/>
      <c r="G20" s="159"/>
      <c r="H20" s="159"/>
      <c r="I20" s="159"/>
      <c r="J20" s="159"/>
      <c r="K20" s="159"/>
      <c r="L20" s="25"/>
    </row>
    <row r="21" spans="1:12" ht="24.95" customHeight="1" x14ac:dyDescent="0.25">
      <c r="A21" s="25"/>
      <c r="B21" s="214" t="s">
        <v>59</v>
      </c>
      <c r="C21" s="215"/>
      <c r="D21" s="215"/>
      <c r="E21" s="215"/>
      <c r="F21" s="216"/>
      <c r="G21" s="159"/>
      <c r="H21" s="159"/>
      <c r="I21" s="159"/>
      <c r="J21" s="159"/>
      <c r="K21" s="159"/>
      <c r="L21" s="25"/>
    </row>
    <row r="22" spans="1:12" ht="24.95" customHeight="1" thickBot="1" x14ac:dyDescent="0.3">
      <c r="A22" s="25"/>
      <c r="B22" s="217"/>
      <c r="C22" s="218"/>
      <c r="D22" s="218"/>
      <c r="E22" s="218"/>
      <c r="F22" s="219"/>
      <c r="G22" s="159"/>
      <c r="H22" s="159"/>
      <c r="I22" s="159"/>
      <c r="J22" s="159"/>
      <c r="K22" s="159"/>
      <c r="L22" s="25"/>
    </row>
    <row r="23" spans="1:12" x14ac:dyDescent="0.25">
      <c r="A23" s="25"/>
      <c r="B23" s="25"/>
      <c r="C23" s="25"/>
      <c r="D23" s="25"/>
      <c r="E23" s="25"/>
      <c r="F23" s="25"/>
      <c r="G23" s="25"/>
      <c r="H23" s="25"/>
      <c r="I23" s="25"/>
      <c r="J23" s="25"/>
      <c r="K23" s="25"/>
      <c r="L23" s="25"/>
    </row>
  </sheetData>
  <sheetProtection algorithmName="SHA-512" hashValue="nIdxzIo5MByq3xfj7A7GRun0iIZhpdmNB7gbLmG/7SJmz3oUkmNlD575ci5Pe4zaoNF3UgD8Y/mb0r8J1eR2JQ==" saltValue="mH32i80JQeyUyvrFXGiLCA==" spinCount="100000" sheet="1" objects="1" scenarios="1"/>
  <mergeCells count="14">
    <mergeCell ref="I1:K1"/>
    <mergeCell ref="I5:K5"/>
    <mergeCell ref="B7:K7"/>
    <mergeCell ref="B9:F10"/>
    <mergeCell ref="B12:F13"/>
    <mergeCell ref="H13:K13"/>
    <mergeCell ref="B15:F16"/>
    <mergeCell ref="B18:F19"/>
    <mergeCell ref="B21:F22"/>
    <mergeCell ref="H18:K18"/>
    <mergeCell ref="H19:K19"/>
    <mergeCell ref="H15:K15"/>
    <mergeCell ref="H16:K16"/>
    <mergeCell ref="H17:K17"/>
  </mergeCells>
  <pageMargins left="0.7" right="0.7" top="0.78740157499999996" bottom="0.78740157499999996" header="0.3" footer="0.3"/>
  <pageSetup paperSize="9" scale="6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28683-69DE-4885-99B4-4AD6EF339639}">
  <sheetPr>
    <pageSetUpPr fitToPage="1"/>
  </sheetPr>
  <dimension ref="A1:AP118"/>
  <sheetViews>
    <sheetView zoomScaleNormal="100" workbookViewId="0">
      <selection activeCell="I8" sqref="I8"/>
    </sheetView>
  </sheetViews>
  <sheetFormatPr baseColWidth="10" defaultRowHeight="15" x14ac:dyDescent="0.25"/>
  <cols>
    <col min="1" max="1" width="2.85546875" customWidth="1"/>
    <col min="2" max="2" width="9.7109375" customWidth="1"/>
    <col min="3" max="3" width="63.7109375" customWidth="1"/>
    <col min="4" max="4" width="44.7109375" customWidth="1"/>
    <col min="5" max="6" width="2.7109375" customWidth="1"/>
    <col min="7" max="9" width="21.7109375" customWidth="1"/>
    <col min="10" max="11" width="11.42578125" customWidth="1"/>
    <col min="12" max="14" width="11.42578125" hidden="1" customWidth="1"/>
    <col min="15" max="15" width="12.42578125" hidden="1" customWidth="1"/>
    <col min="16" max="16" width="17.140625" hidden="1" customWidth="1"/>
    <col min="17" max="20" width="11.42578125" hidden="1" customWidth="1"/>
    <col min="21" max="37" width="11.42578125" style="17" hidden="1" customWidth="1"/>
    <col min="38" max="42" width="11.42578125" hidden="1" customWidth="1"/>
    <col min="43" max="48" width="0" hidden="1" customWidth="1"/>
  </cols>
  <sheetData>
    <row r="1" spans="1:41" ht="15.95" customHeight="1" x14ac:dyDescent="0.25">
      <c r="A1" s="25"/>
      <c r="B1" s="8"/>
      <c r="C1" s="8"/>
      <c r="D1" s="8"/>
      <c r="E1" s="8"/>
      <c r="F1" s="8"/>
      <c r="G1" s="8"/>
      <c r="H1" s="8"/>
      <c r="I1" s="8"/>
      <c r="J1" s="25"/>
    </row>
    <row r="2" spans="1:41" ht="15.95" customHeight="1" x14ac:dyDescent="0.25">
      <c r="A2" s="25"/>
      <c r="B2" s="8"/>
      <c r="C2" s="9"/>
      <c r="D2" s="9"/>
      <c r="E2" s="9" t="s">
        <v>2</v>
      </c>
      <c r="F2" s="9"/>
      <c r="G2" s="9"/>
      <c r="H2" s="8"/>
      <c r="I2" s="8"/>
      <c r="J2" s="25"/>
    </row>
    <row r="3" spans="1:41" ht="15.95" customHeight="1" x14ac:dyDescent="0.25">
      <c r="A3" s="25"/>
      <c r="B3" s="8"/>
      <c r="C3" s="10"/>
      <c r="D3" s="10"/>
      <c r="E3" s="10" t="s">
        <v>3</v>
      </c>
      <c r="F3" s="10"/>
      <c r="G3" s="10"/>
      <c r="H3" s="8"/>
      <c r="I3" s="8"/>
      <c r="J3" s="25"/>
    </row>
    <row r="4" spans="1:41" ht="15.95" customHeight="1" x14ac:dyDescent="0.25">
      <c r="A4" s="25"/>
      <c r="B4" s="8"/>
      <c r="C4" s="10"/>
      <c r="D4" s="10"/>
      <c r="E4" s="10" t="str">
        <f>'KlimaGemeinde Light'!D17</f>
        <v>Kugelschreiber</v>
      </c>
      <c r="F4" s="295"/>
      <c r="G4" s="10"/>
      <c r="H4" s="8"/>
      <c r="I4" s="8"/>
      <c r="J4" s="25"/>
    </row>
    <row r="5" spans="1:41" ht="15.95" customHeight="1" x14ac:dyDescent="0.25">
      <c r="A5" s="25"/>
      <c r="B5" s="8"/>
      <c r="C5" s="8"/>
      <c r="D5" s="8"/>
      <c r="E5" s="8"/>
      <c r="F5" s="295"/>
      <c r="G5" s="8"/>
      <c r="H5" s="8"/>
      <c r="I5" s="6"/>
      <c r="J5" s="25"/>
      <c r="U5"/>
      <c r="V5"/>
      <c r="W5"/>
      <c r="X5"/>
      <c r="Y5"/>
      <c r="Z5"/>
      <c r="AA5"/>
    </row>
    <row r="6" spans="1:41" ht="15.75" customHeight="1" thickBot="1" x14ac:dyDescent="0.3">
      <c r="A6" s="25"/>
      <c r="B6" s="31"/>
      <c r="C6" s="31"/>
      <c r="D6" s="31"/>
      <c r="E6" s="32"/>
      <c r="F6" s="31"/>
      <c r="G6" s="31"/>
      <c r="H6" s="31"/>
      <c r="I6" s="31"/>
      <c r="J6" s="25"/>
      <c r="AL6">
        <v>0</v>
      </c>
    </row>
    <row r="7" spans="1:41" ht="42" customHeight="1" thickBot="1" x14ac:dyDescent="0.3">
      <c r="A7" s="25"/>
      <c r="B7" s="291" t="s">
        <v>275</v>
      </c>
      <c r="C7" s="292"/>
      <c r="D7" s="292"/>
      <c r="E7" s="292"/>
      <c r="F7" s="36"/>
      <c r="G7" s="293" t="s">
        <v>198</v>
      </c>
      <c r="H7" s="293"/>
      <c r="I7" s="200">
        <v>20</v>
      </c>
      <c r="J7" s="25"/>
      <c r="L7" s="296" t="s">
        <v>210</v>
      </c>
      <c r="M7" s="296"/>
      <c r="N7" s="296"/>
      <c r="O7" s="296"/>
      <c r="P7" s="296"/>
      <c r="Q7" s="296"/>
      <c r="U7" s="296" t="s">
        <v>211</v>
      </c>
      <c r="V7" s="296"/>
      <c r="W7" s="296"/>
      <c r="X7" s="296"/>
      <c r="Y7" s="296"/>
      <c r="Z7" s="296"/>
      <c r="AA7" s="296"/>
      <c r="AB7" s="296"/>
      <c r="AC7" s="296"/>
      <c r="AD7" s="296"/>
      <c r="AE7" s="296"/>
      <c r="AF7" s="296"/>
      <c r="AG7" s="296"/>
      <c r="AH7" s="296"/>
      <c r="AI7" s="296"/>
      <c r="AJ7" s="296"/>
      <c r="AK7" s="296"/>
      <c r="AL7">
        <v>100</v>
      </c>
    </row>
    <row r="8" spans="1:41" ht="16.5" thickBot="1" x14ac:dyDescent="0.3">
      <c r="A8" s="25"/>
      <c r="B8" s="175" t="s">
        <v>199</v>
      </c>
      <c r="C8" s="176"/>
      <c r="D8" s="176"/>
      <c r="E8" s="176"/>
      <c r="F8" s="37"/>
      <c r="G8" s="159"/>
      <c r="H8" s="159"/>
      <c r="I8" s="159"/>
      <c r="J8" s="25"/>
      <c r="L8" s="35" t="s">
        <v>206</v>
      </c>
      <c r="M8" s="17" t="s">
        <v>207</v>
      </c>
      <c r="N8" s="17" t="s">
        <v>207</v>
      </c>
      <c r="O8" s="17"/>
      <c r="P8" s="17" t="s">
        <v>208</v>
      </c>
      <c r="Q8" s="17"/>
      <c r="R8" s="17"/>
      <c r="S8" s="17"/>
      <c r="T8" s="17"/>
      <c r="U8" s="17" t="s">
        <v>212</v>
      </c>
      <c r="V8" s="296" t="s">
        <v>213</v>
      </c>
      <c r="W8" s="296"/>
      <c r="X8" s="296" t="s">
        <v>214</v>
      </c>
      <c r="Y8" s="296"/>
      <c r="Z8" s="296"/>
      <c r="AA8" s="296"/>
      <c r="AB8" s="17" t="s">
        <v>215</v>
      </c>
      <c r="AC8" s="296" t="s">
        <v>216</v>
      </c>
      <c r="AD8" s="296"/>
      <c r="AE8" s="296"/>
      <c r="AF8" s="296"/>
      <c r="AG8" s="17" t="s">
        <v>220</v>
      </c>
      <c r="AH8" s="296" t="s">
        <v>202</v>
      </c>
      <c r="AI8" s="296"/>
      <c r="AJ8" s="296"/>
      <c r="AK8" s="296"/>
    </row>
    <row r="9" spans="1:41" ht="16.5" thickBot="1" x14ac:dyDescent="0.3">
      <c r="A9" s="25"/>
      <c r="B9" s="175" t="s">
        <v>200</v>
      </c>
      <c r="C9" s="176"/>
      <c r="D9" s="176"/>
      <c r="E9" s="176"/>
      <c r="F9" s="37"/>
      <c r="G9" s="293" t="s">
        <v>201</v>
      </c>
      <c r="H9" s="293"/>
      <c r="I9" s="294"/>
      <c r="J9" s="25"/>
      <c r="L9" s="35">
        <v>0</v>
      </c>
      <c r="M9" s="17">
        <f>IF('Bereich C '!$L$38="","nein",'Bereich C '!$L$38)</f>
        <v>5</v>
      </c>
      <c r="N9" s="17">
        <f>IF(M9="nein","",ROUND(M9,0))</f>
        <v>5</v>
      </c>
      <c r="O9" s="17">
        <f>IF(N9="","",L9 - N9)</f>
        <v>-5</v>
      </c>
      <c r="P9" s="17">
        <f>IF(O9="","",O9*3/16)</f>
        <v>-0.9375</v>
      </c>
      <c r="Q9" s="17">
        <f>IF($I$7="","",ROUND($I$7,0))</f>
        <v>20</v>
      </c>
      <c r="R9" s="17" t="str">
        <f t="shared" ref="R9:R40" si="0">IF(Q9=L9,P9+N9,"")</f>
        <v/>
      </c>
      <c r="S9" s="17">
        <f>COUNTIF(R9:R109,"")</f>
        <v>100</v>
      </c>
      <c r="T9" s="17"/>
      <c r="U9" s="17">
        <v>0</v>
      </c>
      <c r="V9" s="17">
        <f>'Bereich B '!$L$37</f>
        <v>5</v>
      </c>
      <c r="W9" s="17">
        <f>ROUND(V9,0)</f>
        <v>5</v>
      </c>
      <c r="X9" s="17">
        <f>U9-W9</f>
        <v>-5</v>
      </c>
      <c r="Y9" s="17">
        <f>X9*1/16</f>
        <v>-0.3125</v>
      </c>
      <c r="Z9" s="17">
        <f>IF($G$12="","",ROUND($G$12,0))</f>
        <v>10</v>
      </c>
      <c r="AA9" s="17" t="str">
        <f>IF(Z9=U9,Y9+W9,"")</f>
        <v/>
      </c>
      <c r="AB9" s="17">
        <v>0</v>
      </c>
      <c r="AC9" s="17">
        <f>AB9-W9</f>
        <v>-5</v>
      </c>
      <c r="AD9" s="17">
        <f>AC9*1/16</f>
        <v>-0.3125</v>
      </c>
      <c r="AE9" s="17">
        <f>IF($H$12="","",ROUND($H$12,0))</f>
        <v>100</v>
      </c>
      <c r="AF9" s="17" t="str">
        <f>IF(AE9=AB9,AD9,"")</f>
        <v/>
      </c>
      <c r="AG9" s="17">
        <v>0</v>
      </c>
      <c r="AH9" s="17">
        <f>AG9-W9</f>
        <v>-5</v>
      </c>
      <c r="AI9" s="17">
        <f>AH9*1/16</f>
        <v>-0.3125</v>
      </c>
      <c r="AJ9" s="17">
        <f>IF($I$12="","",ROUND($I$12,0))</f>
        <v>0</v>
      </c>
      <c r="AK9" s="17">
        <f>IF(AJ9=AG9,AI9,"")</f>
        <v>-0.3125</v>
      </c>
      <c r="AM9" s="17">
        <f>COUNTIF(AA9:AA109,"")</f>
        <v>100</v>
      </c>
      <c r="AN9" s="17">
        <f>COUNTIF(AF9:AF109,"")</f>
        <v>100</v>
      </c>
      <c r="AO9" s="17">
        <f>COUNTIF(AK9:AK109,"")</f>
        <v>100</v>
      </c>
    </row>
    <row r="10" spans="1:41" ht="15.75" x14ac:dyDescent="0.25">
      <c r="A10" s="25"/>
      <c r="B10" s="177"/>
      <c r="C10" s="176"/>
      <c r="D10" s="176"/>
      <c r="E10" s="176"/>
      <c r="F10" s="37"/>
      <c r="G10" s="297" t="s">
        <v>217</v>
      </c>
      <c r="H10" s="299" t="s">
        <v>218</v>
      </c>
      <c r="I10" s="299" t="s">
        <v>219</v>
      </c>
      <c r="J10" s="25"/>
      <c r="L10" s="35">
        <v>1</v>
      </c>
      <c r="M10" s="17">
        <f>IF('Bereich C '!$L$38="","nein",'Bereich C '!$L$38)</f>
        <v>5</v>
      </c>
      <c r="N10" s="17">
        <f t="shared" ref="N10:N73" si="1">IF(M10="nein","",ROUND(M10,0))</f>
        <v>5</v>
      </c>
      <c r="O10" s="17">
        <f t="shared" ref="O10:O73" si="2">IF(N10="","",L10 - N10)</f>
        <v>-4</v>
      </c>
      <c r="P10" s="17">
        <f t="shared" ref="P10:P73" si="3">IF(O10="","",O10*3/16)</f>
        <v>-0.75</v>
      </c>
      <c r="Q10" s="17">
        <f t="shared" ref="Q10:Q73" si="4">IF($I$7="","",ROUND($I$7,0))</f>
        <v>20</v>
      </c>
      <c r="R10" s="17" t="str">
        <f t="shared" si="0"/>
        <v/>
      </c>
      <c r="S10" s="17"/>
      <c r="T10" s="17"/>
      <c r="U10" s="17">
        <v>1</v>
      </c>
      <c r="V10" s="17">
        <f>'Bereich B '!$L$37</f>
        <v>5</v>
      </c>
      <c r="W10" s="17">
        <f t="shared" ref="W10:W73" si="5">ROUND(V10,0)</f>
        <v>5</v>
      </c>
      <c r="X10" s="17">
        <f t="shared" ref="X10:X73" si="6">U10-W10</f>
        <v>-4</v>
      </c>
      <c r="Y10" s="17">
        <f t="shared" ref="Y10:Y73" si="7">X10*1/16</f>
        <v>-0.25</v>
      </c>
      <c r="Z10" s="17">
        <f t="shared" ref="Z10:Z73" si="8">IF($G$12="","",ROUND($G$12,0))</f>
        <v>10</v>
      </c>
      <c r="AA10" s="17" t="str">
        <f t="shared" ref="AA10:AA73" si="9">IF(Z10=U10,Y10+W10,"")</f>
        <v/>
      </c>
      <c r="AB10" s="17">
        <v>1</v>
      </c>
      <c r="AC10" s="17">
        <f t="shared" ref="AC10:AC73" si="10">AB10-W10</f>
        <v>-4</v>
      </c>
      <c r="AD10" s="17">
        <f t="shared" ref="AD10:AD73" si="11">AC10*1/16</f>
        <v>-0.25</v>
      </c>
      <c r="AE10" s="17">
        <f t="shared" ref="AE10:AE73" si="12">IF($H$12="","",ROUND($H$12,0))</f>
        <v>100</v>
      </c>
      <c r="AF10" s="17" t="str">
        <f t="shared" ref="AF10:AF73" si="13">IF(AE10=AB10,AD10,"")</f>
        <v/>
      </c>
      <c r="AG10" s="17">
        <v>1</v>
      </c>
      <c r="AH10" s="17">
        <f t="shared" ref="AH10:AH73" si="14">AG10-W10</f>
        <v>-4</v>
      </c>
      <c r="AI10" s="17">
        <f t="shared" ref="AI10:AI73" si="15">AH10*1/16</f>
        <v>-0.25</v>
      </c>
      <c r="AJ10" s="17">
        <f t="shared" ref="AJ10:AJ73" si="16">IF($I$12="","",ROUND($I$12,0))</f>
        <v>0</v>
      </c>
      <c r="AK10" s="17" t="str">
        <f t="shared" ref="AK10:AK73" si="17">IF(AJ10=AG10,AI10,"")</f>
        <v/>
      </c>
    </row>
    <row r="11" spans="1:41" ht="16.5" thickBot="1" x14ac:dyDescent="0.3">
      <c r="A11" s="25"/>
      <c r="B11" s="177"/>
      <c r="C11" s="176"/>
      <c r="D11" s="176"/>
      <c r="E11" s="176"/>
      <c r="F11" s="37"/>
      <c r="G11" s="298"/>
      <c r="H11" s="300"/>
      <c r="I11" s="300"/>
      <c r="J11" s="25"/>
      <c r="L11" s="35">
        <v>2</v>
      </c>
      <c r="M11" s="17">
        <f>IF('Bereich C '!$L$38="","nein",'Bereich C '!$L$38)</f>
        <v>5</v>
      </c>
      <c r="N11" s="17">
        <f t="shared" si="1"/>
        <v>5</v>
      </c>
      <c r="O11" s="17">
        <f t="shared" si="2"/>
        <v>-3</v>
      </c>
      <c r="P11" s="17">
        <f t="shared" si="3"/>
        <v>-0.5625</v>
      </c>
      <c r="Q11" s="17">
        <f t="shared" si="4"/>
        <v>20</v>
      </c>
      <c r="R11" s="17" t="str">
        <f t="shared" si="0"/>
        <v/>
      </c>
      <c r="S11" s="17"/>
      <c r="T11" s="17"/>
      <c r="U11" s="17">
        <v>2</v>
      </c>
      <c r="V11" s="17">
        <f>'Bereich B '!$L$37</f>
        <v>5</v>
      </c>
      <c r="W11" s="17">
        <f t="shared" si="5"/>
        <v>5</v>
      </c>
      <c r="X11" s="17">
        <f t="shared" si="6"/>
        <v>-3</v>
      </c>
      <c r="Y11" s="17">
        <f t="shared" si="7"/>
        <v>-0.1875</v>
      </c>
      <c r="Z11" s="17">
        <f t="shared" si="8"/>
        <v>10</v>
      </c>
      <c r="AA11" s="17" t="str">
        <f t="shared" si="9"/>
        <v/>
      </c>
      <c r="AB11" s="17">
        <v>2</v>
      </c>
      <c r="AC11" s="17">
        <f t="shared" si="10"/>
        <v>-3</v>
      </c>
      <c r="AD11" s="17">
        <f t="shared" si="11"/>
        <v>-0.1875</v>
      </c>
      <c r="AE11" s="17">
        <f t="shared" si="12"/>
        <v>100</v>
      </c>
      <c r="AF11" s="17" t="str">
        <f t="shared" si="13"/>
        <v/>
      </c>
      <c r="AG11" s="17">
        <v>2</v>
      </c>
      <c r="AH11" s="17">
        <f t="shared" si="14"/>
        <v>-3</v>
      </c>
      <c r="AI11" s="17">
        <f t="shared" si="15"/>
        <v>-0.1875</v>
      </c>
      <c r="AJ11" s="17">
        <f t="shared" si="16"/>
        <v>0</v>
      </c>
      <c r="AK11" s="17" t="str">
        <f t="shared" si="17"/>
        <v/>
      </c>
      <c r="AN11" s="17">
        <f>AM9+AN9+AO9</f>
        <v>300</v>
      </c>
    </row>
    <row r="12" spans="1:41" ht="39.75" customHeight="1" thickBot="1" x14ac:dyDescent="0.3">
      <c r="A12" s="25"/>
      <c r="B12" s="178"/>
      <c r="C12" s="179"/>
      <c r="D12" s="179"/>
      <c r="E12" s="179"/>
      <c r="F12" s="38"/>
      <c r="G12" s="206">
        <v>10</v>
      </c>
      <c r="H12" s="201">
        <v>100</v>
      </c>
      <c r="I12" s="202">
        <v>0</v>
      </c>
      <c r="J12" s="25"/>
      <c r="L12" s="35">
        <v>3</v>
      </c>
      <c r="M12" s="17">
        <f>IF('Bereich C '!$L$38="","nein",'Bereich C '!$L$38)</f>
        <v>5</v>
      </c>
      <c r="N12" s="17">
        <f t="shared" si="1"/>
        <v>5</v>
      </c>
      <c r="O12" s="17">
        <f t="shared" si="2"/>
        <v>-2</v>
      </c>
      <c r="P12" s="17">
        <f t="shared" si="3"/>
        <v>-0.375</v>
      </c>
      <c r="Q12" s="17">
        <f t="shared" si="4"/>
        <v>20</v>
      </c>
      <c r="R12" s="17" t="str">
        <f t="shared" si="0"/>
        <v/>
      </c>
      <c r="S12" s="17"/>
      <c r="T12" s="17"/>
      <c r="U12" s="17">
        <v>3</v>
      </c>
      <c r="V12" s="17">
        <f>'Bereich B '!$L$37</f>
        <v>5</v>
      </c>
      <c r="W12" s="17">
        <f t="shared" si="5"/>
        <v>5</v>
      </c>
      <c r="X12" s="17">
        <f t="shared" si="6"/>
        <v>-2</v>
      </c>
      <c r="Y12" s="17">
        <f t="shared" si="7"/>
        <v>-0.125</v>
      </c>
      <c r="Z12" s="17">
        <f t="shared" si="8"/>
        <v>10</v>
      </c>
      <c r="AA12" s="17" t="str">
        <f t="shared" si="9"/>
        <v/>
      </c>
      <c r="AB12" s="17">
        <v>3</v>
      </c>
      <c r="AC12" s="17">
        <f t="shared" si="10"/>
        <v>-2</v>
      </c>
      <c r="AD12" s="17">
        <f t="shared" si="11"/>
        <v>-0.125</v>
      </c>
      <c r="AE12" s="17">
        <f t="shared" si="12"/>
        <v>100</v>
      </c>
      <c r="AF12" s="17" t="str">
        <f t="shared" si="13"/>
        <v/>
      </c>
      <c r="AG12" s="17">
        <v>3</v>
      </c>
      <c r="AH12" s="17">
        <f t="shared" si="14"/>
        <v>-2</v>
      </c>
      <c r="AI12" s="17">
        <f t="shared" si="15"/>
        <v>-0.125</v>
      </c>
      <c r="AJ12" s="17">
        <f t="shared" si="16"/>
        <v>0</v>
      </c>
      <c r="AK12" s="17" t="str">
        <f t="shared" si="17"/>
        <v/>
      </c>
    </row>
    <row r="13" spans="1:41" x14ac:dyDescent="0.25">
      <c r="A13" s="25"/>
      <c r="B13" s="25"/>
      <c r="C13" s="25"/>
      <c r="D13" s="25"/>
      <c r="E13" s="25"/>
      <c r="F13" s="25"/>
      <c r="G13" s="25"/>
      <c r="H13" s="25"/>
      <c r="I13" s="25"/>
      <c r="J13" s="25"/>
      <c r="L13" s="35">
        <v>4</v>
      </c>
      <c r="M13" s="17">
        <f>IF('Bereich C '!$L$38="","nein",'Bereich C '!$L$38)</f>
        <v>5</v>
      </c>
      <c r="N13" s="17">
        <f t="shared" si="1"/>
        <v>5</v>
      </c>
      <c r="O13" s="17">
        <f t="shared" si="2"/>
        <v>-1</v>
      </c>
      <c r="P13" s="17">
        <f t="shared" si="3"/>
        <v>-0.1875</v>
      </c>
      <c r="Q13" s="17">
        <f t="shared" si="4"/>
        <v>20</v>
      </c>
      <c r="R13" s="17" t="str">
        <f t="shared" si="0"/>
        <v/>
      </c>
      <c r="S13" s="17"/>
      <c r="T13" s="17"/>
      <c r="U13" s="17">
        <v>4</v>
      </c>
      <c r="V13" s="17">
        <f>'Bereich B '!$L$37</f>
        <v>5</v>
      </c>
      <c r="W13" s="17">
        <f t="shared" si="5"/>
        <v>5</v>
      </c>
      <c r="X13" s="17">
        <f t="shared" si="6"/>
        <v>-1</v>
      </c>
      <c r="Y13" s="17">
        <f t="shared" si="7"/>
        <v>-6.25E-2</v>
      </c>
      <c r="Z13" s="17">
        <f t="shared" si="8"/>
        <v>10</v>
      </c>
      <c r="AA13" s="17" t="str">
        <f t="shared" si="9"/>
        <v/>
      </c>
      <c r="AB13" s="17">
        <v>4</v>
      </c>
      <c r="AC13" s="17">
        <f t="shared" si="10"/>
        <v>-1</v>
      </c>
      <c r="AD13" s="17">
        <f t="shared" si="11"/>
        <v>-6.25E-2</v>
      </c>
      <c r="AE13" s="17">
        <f t="shared" si="12"/>
        <v>100</v>
      </c>
      <c r="AF13" s="17" t="str">
        <f t="shared" si="13"/>
        <v/>
      </c>
      <c r="AG13" s="17">
        <v>4</v>
      </c>
      <c r="AH13" s="17">
        <f t="shared" si="14"/>
        <v>-1</v>
      </c>
      <c r="AI13" s="17">
        <f t="shared" si="15"/>
        <v>-6.25E-2</v>
      </c>
      <c r="AJ13" s="17">
        <f t="shared" si="16"/>
        <v>0</v>
      </c>
      <c r="AK13" s="17" t="str">
        <f t="shared" si="17"/>
        <v/>
      </c>
    </row>
    <row r="14" spans="1:41" ht="29.25" customHeight="1" x14ac:dyDescent="0.25">
      <c r="A14" s="25"/>
      <c r="B14" s="301" t="s">
        <v>237</v>
      </c>
      <c r="C14" s="302"/>
      <c r="D14" s="302"/>
      <c r="E14" s="302"/>
      <c r="F14" s="302"/>
      <c r="G14" s="302"/>
      <c r="H14" s="302"/>
      <c r="I14" s="302"/>
      <c r="J14" s="25"/>
      <c r="L14" s="35">
        <v>5</v>
      </c>
      <c r="M14" s="17">
        <f>IF('Bereich C '!$L$38="","nein",'Bereich C '!$L$38)</f>
        <v>5</v>
      </c>
      <c r="N14" s="17">
        <f t="shared" si="1"/>
        <v>5</v>
      </c>
      <c r="O14" s="17">
        <f t="shared" si="2"/>
        <v>0</v>
      </c>
      <c r="P14" s="17">
        <f t="shared" si="3"/>
        <v>0</v>
      </c>
      <c r="Q14" s="17">
        <f t="shared" si="4"/>
        <v>20</v>
      </c>
      <c r="R14" s="17" t="str">
        <f t="shared" si="0"/>
        <v/>
      </c>
      <c r="S14" s="17"/>
      <c r="T14" s="17"/>
      <c r="U14" s="17">
        <v>5</v>
      </c>
      <c r="V14" s="17">
        <f>'Bereich B '!$L$37</f>
        <v>5</v>
      </c>
      <c r="W14" s="17">
        <f t="shared" si="5"/>
        <v>5</v>
      </c>
      <c r="X14" s="17">
        <f t="shared" si="6"/>
        <v>0</v>
      </c>
      <c r="Y14" s="17">
        <f t="shared" si="7"/>
        <v>0</v>
      </c>
      <c r="Z14" s="17">
        <f t="shared" si="8"/>
        <v>10</v>
      </c>
      <c r="AA14" s="17" t="str">
        <f t="shared" si="9"/>
        <v/>
      </c>
      <c r="AB14" s="17">
        <v>5</v>
      </c>
      <c r="AC14" s="17">
        <f t="shared" si="10"/>
        <v>0</v>
      </c>
      <c r="AD14" s="17">
        <f t="shared" si="11"/>
        <v>0</v>
      </c>
      <c r="AE14" s="17">
        <f t="shared" si="12"/>
        <v>100</v>
      </c>
      <c r="AF14" s="17" t="str">
        <f t="shared" si="13"/>
        <v/>
      </c>
      <c r="AG14" s="17">
        <v>5</v>
      </c>
      <c r="AH14" s="17">
        <f t="shared" si="14"/>
        <v>0</v>
      </c>
      <c r="AI14" s="17">
        <f t="shared" si="15"/>
        <v>0</v>
      </c>
      <c r="AJ14" s="17">
        <f t="shared" si="16"/>
        <v>0</v>
      </c>
      <c r="AK14" s="17" t="str">
        <f t="shared" si="17"/>
        <v/>
      </c>
    </row>
    <row r="15" spans="1:41" ht="15.75" x14ac:dyDescent="0.25">
      <c r="A15" s="25"/>
      <c r="B15" s="303"/>
      <c r="C15" s="303"/>
      <c r="D15" s="303"/>
      <c r="E15" s="303"/>
      <c r="F15" s="303"/>
      <c r="G15" s="203"/>
      <c r="H15" s="203"/>
      <c r="I15" s="203"/>
      <c r="J15" s="25"/>
      <c r="L15" s="35">
        <v>6</v>
      </c>
      <c r="M15" s="17">
        <f>IF('Bereich C '!$L$38="","nein",'Bereich C '!$L$38)</f>
        <v>5</v>
      </c>
      <c r="N15" s="17">
        <f t="shared" si="1"/>
        <v>5</v>
      </c>
      <c r="O15" s="17">
        <f t="shared" si="2"/>
        <v>1</v>
      </c>
      <c r="P15" s="17">
        <f t="shared" si="3"/>
        <v>0.1875</v>
      </c>
      <c r="Q15" s="17">
        <f t="shared" si="4"/>
        <v>20</v>
      </c>
      <c r="R15" s="17" t="str">
        <f t="shared" si="0"/>
        <v/>
      </c>
      <c r="S15" s="17"/>
      <c r="T15" s="17"/>
      <c r="U15" s="17">
        <v>6</v>
      </c>
      <c r="V15" s="17">
        <f>'Bereich B '!$L$37</f>
        <v>5</v>
      </c>
      <c r="W15" s="17">
        <f t="shared" si="5"/>
        <v>5</v>
      </c>
      <c r="X15" s="17">
        <f t="shared" si="6"/>
        <v>1</v>
      </c>
      <c r="Y15" s="17">
        <f t="shared" si="7"/>
        <v>6.25E-2</v>
      </c>
      <c r="Z15" s="17">
        <f t="shared" si="8"/>
        <v>10</v>
      </c>
      <c r="AA15" s="17" t="str">
        <f t="shared" si="9"/>
        <v/>
      </c>
      <c r="AB15" s="17">
        <v>6</v>
      </c>
      <c r="AC15" s="17">
        <f t="shared" si="10"/>
        <v>1</v>
      </c>
      <c r="AD15" s="17">
        <f t="shared" si="11"/>
        <v>6.25E-2</v>
      </c>
      <c r="AE15" s="17">
        <f t="shared" si="12"/>
        <v>100</v>
      </c>
      <c r="AF15" s="17" t="str">
        <f t="shared" si="13"/>
        <v/>
      </c>
      <c r="AG15" s="17">
        <v>6</v>
      </c>
      <c r="AH15" s="17">
        <f t="shared" si="14"/>
        <v>1</v>
      </c>
      <c r="AI15" s="17">
        <f t="shared" si="15"/>
        <v>6.25E-2</v>
      </c>
      <c r="AJ15" s="17">
        <f t="shared" si="16"/>
        <v>0</v>
      </c>
      <c r="AK15" s="17" t="str">
        <f t="shared" si="17"/>
        <v/>
      </c>
    </row>
    <row r="16" spans="1:41" ht="15.75" x14ac:dyDescent="0.25">
      <c r="A16" s="205"/>
      <c r="B16" s="304"/>
      <c r="C16" s="304"/>
      <c r="D16" s="304"/>
      <c r="E16" s="304"/>
      <c r="F16" s="304"/>
      <c r="G16" s="204"/>
      <c r="H16" s="204"/>
      <c r="I16" s="204"/>
      <c r="J16" s="205"/>
      <c r="L16" s="35">
        <v>7</v>
      </c>
      <c r="M16" s="17">
        <f>IF('Bereich C '!$L$38="","nein",'Bereich C '!$L$38)</f>
        <v>5</v>
      </c>
      <c r="N16" s="17">
        <f t="shared" si="1"/>
        <v>5</v>
      </c>
      <c r="O16" s="17">
        <f t="shared" si="2"/>
        <v>2</v>
      </c>
      <c r="P16" s="17">
        <f t="shared" si="3"/>
        <v>0.375</v>
      </c>
      <c r="Q16" s="17">
        <f t="shared" si="4"/>
        <v>20</v>
      </c>
      <c r="R16" s="17" t="str">
        <f t="shared" si="0"/>
        <v/>
      </c>
      <c r="S16" s="17"/>
      <c r="T16" s="17"/>
      <c r="U16" s="17">
        <v>7</v>
      </c>
      <c r="V16" s="17">
        <f>'Bereich B '!$L$37</f>
        <v>5</v>
      </c>
      <c r="W16" s="17">
        <f t="shared" si="5"/>
        <v>5</v>
      </c>
      <c r="X16" s="17">
        <f t="shared" si="6"/>
        <v>2</v>
      </c>
      <c r="Y16" s="17">
        <f t="shared" si="7"/>
        <v>0.125</v>
      </c>
      <c r="Z16" s="17">
        <f t="shared" si="8"/>
        <v>10</v>
      </c>
      <c r="AA16" s="17" t="str">
        <f t="shared" si="9"/>
        <v/>
      </c>
      <c r="AB16" s="17">
        <v>7</v>
      </c>
      <c r="AC16" s="17">
        <f t="shared" si="10"/>
        <v>2</v>
      </c>
      <c r="AD16" s="17">
        <f t="shared" si="11"/>
        <v>0.125</v>
      </c>
      <c r="AE16" s="17">
        <f t="shared" si="12"/>
        <v>100</v>
      </c>
      <c r="AF16" s="17" t="str">
        <f t="shared" si="13"/>
        <v/>
      </c>
      <c r="AG16" s="17">
        <v>7</v>
      </c>
      <c r="AH16" s="17">
        <f t="shared" si="14"/>
        <v>2</v>
      </c>
      <c r="AI16" s="17">
        <f t="shared" si="15"/>
        <v>0.125</v>
      </c>
      <c r="AJ16" s="17">
        <f t="shared" si="16"/>
        <v>0</v>
      </c>
      <c r="AK16" s="17" t="str">
        <f t="shared" si="17"/>
        <v/>
      </c>
    </row>
    <row r="17" spans="1:37" ht="15.75" x14ac:dyDescent="0.25">
      <c r="A17" s="205"/>
      <c r="B17" s="304"/>
      <c r="C17" s="304"/>
      <c r="D17" s="304"/>
      <c r="E17" s="304"/>
      <c r="F17" s="304"/>
      <c r="G17" s="204"/>
      <c r="H17" s="204"/>
      <c r="I17" s="204"/>
      <c r="J17" s="205"/>
      <c r="L17" s="35">
        <v>8</v>
      </c>
      <c r="M17" s="17">
        <f>IF('Bereich C '!$L$38="","nein",'Bereich C '!$L$38)</f>
        <v>5</v>
      </c>
      <c r="N17" s="17">
        <f t="shared" si="1"/>
        <v>5</v>
      </c>
      <c r="O17" s="17">
        <f t="shared" si="2"/>
        <v>3</v>
      </c>
      <c r="P17" s="17">
        <f t="shared" si="3"/>
        <v>0.5625</v>
      </c>
      <c r="Q17" s="17">
        <f t="shared" si="4"/>
        <v>20</v>
      </c>
      <c r="R17" s="17" t="str">
        <f t="shared" si="0"/>
        <v/>
      </c>
      <c r="S17" s="17"/>
      <c r="T17" s="17"/>
      <c r="U17" s="17">
        <v>8</v>
      </c>
      <c r="V17" s="17">
        <f>'Bereich B '!$L$37</f>
        <v>5</v>
      </c>
      <c r="W17" s="17">
        <f t="shared" si="5"/>
        <v>5</v>
      </c>
      <c r="X17" s="17">
        <f t="shared" si="6"/>
        <v>3</v>
      </c>
      <c r="Y17" s="17">
        <f t="shared" si="7"/>
        <v>0.1875</v>
      </c>
      <c r="Z17" s="17">
        <f t="shared" si="8"/>
        <v>10</v>
      </c>
      <c r="AA17" s="17" t="str">
        <f t="shared" si="9"/>
        <v/>
      </c>
      <c r="AB17" s="17">
        <v>8</v>
      </c>
      <c r="AC17" s="17">
        <f t="shared" si="10"/>
        <v>3</v>
      </c>
      <c r="AD17" s="17">
        <f t="shared" si="11"/>
        <v>0.1875</v>
      </c>
      <c r="AE17" s="17">
        <f t="shared" si="12"/>
        <v>100</v>
      </c>
      <c r="AF17" s="17" t="str">
        <f t="shared" si="13"/>
        <v/>
      </c>
      <c r="AG17" s="17">
        <v>8</v>
      </c>
      <c r="AH17" s="17">
        <f t="shared" si="14"/>
        <v>3</v>
      </c>
      <c r="AI17" s="17">
        <f t="shared" si="15"/>
        <v>0.1875</v>
      </c>
      <c r="AJ17" s="17">
        <f t="shared" si="16"/>
        <v>0</v>
      </c>
      <c r="AK17" s="17" t="str">
        <f t="shared" si="17"/>
        <v/>
      </c>
    </row>
    <row r="18" spans="1:37" ht="15.75" x14ac:dyDescent="0.25">
      <c r="A18" s="205"/>
      <c r="B18" s="304"/>
      <c r="C18" s="304"/>
      <c r="D18" s="304"/>
      <c r="E18" s="304"/>
      <c r="F18" s="304"/>
      <c r="G18" s="204"/>
      <c r="H18" s="204"/>
      <c r="I18" s="204"/>
      <c r="J18" s="205"/>
      <c r="L18" s="35">
        <v>9</v>
      </c>
      <c r="M18" s="17">
        <f>IF('Bereich C '!$L$38="","nein",'Bereich C '!$L$38)</f>
        <v>5</v>
      </c>
      <c r="N18" s="17">
        <f t="shared" si="1"/>
        <v>5</v>
      </c>
      <c r="O18" s="17">
        <f t="shared" si="2"/>
        <v>4</v>
      </c>
      <c r="P18" s="17">
        <f t="shared" si="3"/>
        <v>0.75</v>
      </c>
      <c r="Q18" s="17">
        <f t="shared" si="4"/>
        <v>20</v>
      </c>
      <c r="R18" s="17" t="str">
        <f t="shared" si="0"/>
        <v/>
      </c>
      <c r="S18" s="17"/>
      <c r="T18" s="17"/>
      <c r="U18" s="17">
        <v>9</v>
      </c>
      <c r="V18" s="17">
        <f>'Bereich B '!$L$37</f>
        <v>5</v>
      </c>
      <c r="W18" s="17">
        <f t="shared" si="5"/>
        <v>5</v>
      </c>
      <c r="X18" s="17">
        <f t="shared" si="6"/>
        <v>4</v>
      </c>
      <c r="Y18" s="17">
        <f t="shared" si="7"/>
        <v>0.25</v>
      </c>
      <c r="Z18" s="17">
        <f t="shared" si="8"/>
        <v>10</v>
      </c>
      <c r="AA18" s="17" t="str">
        <f t="shared" si="9"/>
        <v/>
      </c>
      <c r="AB18" s="17">
        <v>9</v>
      </c>
      <c r="AC18" s="17">
        <f t="shared" si="10"/>
        <v>4</v>
      </c>
      <c r="AD18" s="17">
        <f t="shared" si="11"/>
        <v>0.25</v>
      </c>
      <c r="AE18" s="17">
        <f t="shared" si="12"/>
        <v>100</v>
      </c>
      <c r="AF18" s="17" t="str">
        <f t="shared" si="13"/>
        <v/>
      </c>
      <c r="AG18" s="17">
        <v>9</v>
      </c>
      <c r="AH18" s="17">
        <f t="shared" si="14"/>
        <v>4</v>
      </c>
      <c r="AI18" s="17">
        <f t="shared" si="15"/>
        <v>0.25</v>
      </c>
      <c r="AJ18" s="17">
        <f t="shared" si="16"/>
        <v>0</v>
      </c>
      <c r="AK18" s="17" t="str">
        <f t="shared" si="17"/>
        <v/>
      </c>
    </row>
    <row r="19" spans="1:37" ht="15.75" x14ac:dyDescent="0.25">
      <c r="A19" s="205"/>
      <c r="B19" s="304"/>
      <c r="C19" s="304"/>
      <c r="D19" s="304"/>
      <c r="E19" s="304"/>
      <c r="F19" s="304"/>
      <c r="G19" s="204"/>
      <c r="H19" s="204"/>
      <c r="I19" s="204"/>
      <c r="J19" s="205"/>
      <c r="L19" s="35">
        <v>10</v>
      </c>
      <c r="M19" s="17">
        <f>IF('Bereich C '!$L$38="","nein",'Bereich C '!$L$38)</f>
        <v>5</v>
      </c>
      <c r="N19" s="17">
        <f t="shared" si="1"/>
        <v>5</v>
      </c>
      <c r="O19" s="17">
        <f t="shared" si="2"/>
        <v>5</v>
      </c>
      <c r="P19" s="17">
        <f t="shared" si="3"/>
        <v>0.9375</v>
      </c>
      <c r="Q19" s="17">
        <f t="shared" si="4"/>
        <v>20</v>
      </c>
      <c r="R19" s="17" t="str">
        <f t="shared" si="0"/>
        <v/>
      </c>
      <c r="S19" s="17"/>
      <c r="T19" s="17"/>
      <c r="U19" s="17">
        <v>10</v>
      </c>
      <c r="V19" s="17">
        <f>'Bereich B '!$L$37</f>
        <v>5</v>
      </c>
      <c r="W19" s="17">
        <f t="shared" si="5"/>
        <v>5</v>
      </c>
      <c r="X19" s="17">
        <f t="shared" si="6"/>
        <v>5</v>
      </c>
      <c r="Y19" s="17">
        <f t="shared" si="7"/>
        <v>0.3125</v>
      </c>
      <c r="Z19" s="17">
        <f t="shared" si="8"/>
        <v>10</v>
      </c>
      <c r="AA19" s="17">
        <f t="shared" si="9"/>
        <v>5.3125</v>
      </c>
      <c r="AB19" s="17">
        <v>10</v>
      </c>
      <c r="AC19" s="17">
        <f t="shared" si="10"/>
        <v>5</v>
      </c>
      <c r="AD19" s="17">
        <f t="shared" si="11"/>
        <v>0.3125</v>
      </c>
      <c r="AE19" s="17">
        <f t="shared" si="12"/>
        <v>100</v>
      </c>
      <c r="AF19" s="17" t="str">
        <f t="shared" si="13"/>
        <v/>
      </c>
      <c r="AG19" s="17">
        <v>10</v>
      </c>
      <c r="AH19" s="17">
        <f t="shared" si="14"/>
        <v>5</v>
      </c>
      <c r="AI19" s="17">
        <f t="shared" si="15"/>
        <v>0.3125</v>
      </c>
      <c r="AJ19" s="17">
        <f t="shared" si="16"/>
        <v>0</v>
      </c>
      <c r="AK19" s="17" t="str">
        <f t="shared" si="17"/>
        <v/>
      </c>
    </row>
    <row r="20" spans="1:37" ht="15.75" x14ac:dyDescent="0.25">
      <c r="A20" s="205"/>
      <c r="B20" s="304"/>
      <c r="C20" s="304"/>
      <c r="D20" s="304"/>
      <c r="E20" s="304"/>
      <c r="F20" s="304"/>
      <c r="G20" s="204"/>
      <c r="H20" s="204"/>
      <c r="I20" s="204"/>
      <c r="J20" s="205"/>
      <c r="L20" s="35">
        <v>11</v>
      </c>
      <c r="M20" s="17">
        <f>IF('Bereich C '!$L$38="","nein",'Bereich C '!$L$38)</f>
        <v>5</v>
      </c>
      <c r="N20" s="17">
        <f t="shared" si="1"/>
        <v>5</v>
      </c>
      <c r="O20" s="17">
        <f t="shared" si="2"/>
        <v>6</v>
      </c>
      <c r="P20" s="17">
        <f t="shared" si="3"/>
        <v>1.125</v>
      </c>
      <c r="Q20" s="17">
        <f t="shared" si="4"/>
        <v>20</v>
      </c>
      <c r="R20" s="17" t="str">
        <f t="shared" si="0"/>
        <v/>
      </c>
      <c r="S20" s="17"/>
      <c r="T20" s="17"/>
      <c r="U20" s="17">
        <v>11</v>
      </c>
      <c r="V20" s="17">
        <f>'Bereich B '!$L$37</f>
        <v>5</v>
      </c>
      <c r="W20" s="17">
        <f t="shared" si="5"/>
        <v>5</v>
      </c>
      <c r="X20" s="17">
        <f t="shared" si="6"/>
        <v>6</v>
      </c>
      <c r="Y20" s="17">
        <f t="shared" si="7"/>
        <v>0.375</v>
      </c>
      <c r="Z20" s="17">
        <f t="shared" si="8"/>
        <v>10</v>
      </c>
      <c r="AA20" s="17" t="str">
        <f t="shared" si="9"/>
        <v/>
      </c>
      <c r="AB20" s="17">
        <v>11</v>
      </c>
      <c r="AC20" s="17">
        <f t="shared" si="10"/>
        <v>6</v>
      </c>
      <c r="AD20" s="17">
        <f t="shared" si="11"/>
        <v>0.375</v>
      </c>
      <c r="AE20" s="17">
        <f t="shared" si="12"/>
        <v>100</v>
      </c>
      <c r="AF20" s="17" t="str">
        <f t="shared" si="13"/>
        <v/>
      </c>
      <c r="AG20" s="17">
        <v>11</v>
      </c>
      <c r="AH20" s="17">
        <f t="shared" si="14"/>
        <v>6</v>
      </c>
      <c r="AI20" s="17">
        <f t="shared" si="15"/>
        <v>0.375</v>
      </c>
      <c r="AJ20" s="17">
        <f t="shared" si="16"/>
        <v>0</v>
      </c>
      <c r="AK20" s="17" t="str">
        <f t="shared" si="17"/>
        <v/>
      </c>
    </row>
    <row r="21" spans="1:37" ht="15.75" x14ac:dyDescent="0.25">
      <c r="A21" s="205"/>
      <c r="B21" s="304"/>
      <c r="C21" s="304"/>
      <c r="D21" s="304"/>
      <c r="E21" s="304"/>
      <c r="F21" s="304"/>
      <c r="G21" s="204"/>
      <c r="H21" s="204"/>
      <c r="I21" s="204"/>
      <c r="J21" s="205"/>
      <c r="L21" s="35">
        <v>12</v>
      </c>
      <c r="M21" s="17">
        <f>IF('Bereich C '!$L$38="","nein",'Bereich C '!$L$38)</f>
        <v>5</v>
      </c>
      <c r="N21" s="17">
        <f t="shared" si="1"/>
        <v>5</v>
      </c>
      <c r="O21" s="17">
        <f t="shared" si="2"/>
        <v>7</v>
      </c>
      <c r="P21" s="17">
        <f t="shared" si="3"/>
        <v>1.3125</v>
      </c>
      <c r="Q21" s="17">
        <f t="shared" si="4"/>
        <v>20</v>
      </c>
      <c r="R21" s="17" t="str">
        <f t="shared" si="0"/>
        <v/>
      </c>
      <c r="S21" s="17"/>
      <c r="T21" s="17"/>
      <c r="U21" s="17">
        <v>12</v>
      </c>
      <c r="V21" s="17">
        <f>'Bereich B '!$L$37</f>
        <v>5</v>
      </c>
      <c r="W21" s="17">
        <f t="shared" si="5"/>
        <v>5</v>
      </c>
      <c r="X21" s="17">
        <f t="shared" si="6"/>
        <v>7</v>
      </c>
      <c r="Y21" s="17">
        <f t="shared" si="7"/>
        <v>0.4375</v>
      </c>
      <c r="Z21" s="17">
        <f t="shared" si="8"/>
        <v>10</v>
      </c>
      <c r="AA21" s="17" t="str">
        <f t="shared" si="9"/>
        <v/>
      </c>
      <c r="AB21" s="17">
        <v>12</v>
      </c>
      <c r="AC21" s="17">
        <f t="shared" si="10"/>
        <v>7</v>
      </c>
      <c r="AD21" s="17">
        <f t="shared" si="11"/>
        <v>0.4375</v>
      </c>
      <c r="AE21" s="17">
        <f t="shared" si="12"/>
        <v>100</v>
      </c>
      <c r="AF21" s="17" t="str">
        <f t="shared" si="13"/>
        <v/>
      </c>
      <c r="AG21" s="17">
        <v>12</v>
      </c>
      <c r="AH21" s="17">
        <f t="shared" si="14"/>
        <v>7</v>
      </c>
      <c r="AI21" s="17">
        <f t="shared" si="15"/>
        <v>0.4375</v>
      </c>
      <c r="AJ21" s="17">
        <f t="shared" si="16"/>
        <v>0</v>
      </c>
      <c r="AK21" s="17" t="str">
        <f t="shared" si="17"/>
        <v/>
      </c>
    </row>
    <row r="22" spans="1:37" ht="15.75" x14ac:dyDescent="0.25">
      <c r="A22" s="205"/>
      <c r="B22" s="304"/>
      <c r="C22" s="304"/>
      <c r="D22" s="304"/>
      <c r="E22" s="304"/>
      <c r="F22" s="304"/>
      <c r="G22" s="204"/>
      <c r="H22" s="204"/>
      <c r="I22" s="204"/>
      <c r="J22" s="205"/>
      <c r="L22" s="35">
        <v>13</v>
      </c>
      <c r="M22" s="17">
        <f>IF('Bereich C '!$L$38="","nein",'Bereich C '!$L$38)</f>
        <v>5</v>
      </c>
      <c r="N22" s="17">
        <f t="shared" si="1"/>
        <v>5</v>
      </c>
      <c r="O22" s="17">
        <f t="shared" si="2"/>
        <v>8</v>
      </c>
      <c r="P22" s="17">
        <f t="shared" si="3"/>
        <v>1.5</v>
      </c>
      <c r="Q22" s="17">
        <f t="shared" si="4"/>
        <v>20</v>
      </c>
      <c r="R22" s="17" t="str">
        <f t="shared" si="0"/>
        <v/>
      </c>
      <c r="S22" s="17"/>
      <c r="T22" s="17"/>
      <c r="U22" s="17">
        <v>13</v>
      </c>
      <c r="V22" s="17">
        <f>'Bereich B '!$L$37</f>
        <v>5</v>
      </c>
      <c r="W22" s="17">
        <f t="shared" si="5"/>
        <v>5</v>
      </c>
      <c r="X22" s="17">
        <f t="shared" si="6"/>
        <v>8</v>
      </c>
      <c r="Y22" s="17">
        <f t="shared" si="7"/>
        <v>0.5</v>
      </c>
      <c r="Z22" s="17">
        <f t="shared" si="8"/>
        <v>10</v>
      </c>
      <c r="AA22" s="17" t="str">
        <f t="shared" si="9"/>
        <v/>
      </c>
      <c r="AB22" s="17">
        <v>13</v>
      </c>
      <c r="AC22" s="17">
        <f t="shared" si="10"/>
        <v>8</v>
      </c>
      <c r="AD22" s="17">
        <f t="shared" si="11"/>
        <v>0.5</v>
      </c>
      <c r="AE22" s="17">
        <f t="shared" si="12"/>
        <v>100</v>
      </c>
      <c r="AF22" s="17" t="str">
        <f t="shared" si="13"/>
        <v/>
      </c>
      <c r="AG22" s="17">
        <v>13</v>
      </c>
      <c r="AH22" s="17">
        <f t="shared" si="14"/>
        <v>8</v>
      </c>
      <c r="AI22" s="17">
        <f t="shared" si="15"/>
        <v>0.5</v>
      </c>
      <c r="AJ22" s="17">
        <f t="shared" si="16"/>
        <v>0</v>
      </c>
      <c r="AK22" s="17" t="str">
        <f t="shared" si="17"/>
        <v/>
      </c>
    </row>
    <row r="23" spans="1:37" ht="15.75" x14ac:dyDescent="0.25">
      <c r="A23" s="205"/>
      <c r="B23" s="304"/>
      <c r="C23" s="304"/>
      <c r="D23" s="304"/>
      <c r="E23" s="304"/>
      <c r="F23" s="304"/>
      <c r="G23" s="204"/>
      <c r="H23" s="204"/>
      <c r="I23" s="204"/>
      <c r="J23" s="205"/>
      <c r="L23" s="35">
        <v>14</v>
      </c>
      <c r="M23" s="17">
        <f>IF('Bereich C '!$L$38="","nein",'Bereich C '!$L$38)</f>
        <v>5</v>
      </c>
      <c r="N23" s="17">
        <f t="shared" si="1"/>
        <v>5</v>
      </c>
      <c r="O23" s="17">
        <f t="shared" si="2"/>
        <v>9</v>
      </c>
      <c r="P23" s="17">
        <f t="shared" si="3"/>
        <v>1.6875</v>
      </c>
      <c r="Q23" s="17">
        <f t="shared" si="4"/>
        <v>20</v>
      </c>
      <c r="R23" s="17" t="str">
        <f t="shared" si="0"/>
        <v/>
      </c>
      <c r="S23" s="17"/>
      <c r="T23" s="17"/>
      <c r="U23" s="17">
        <v>14</v>
      </c>
      <c r="V23" s="17">
        <f>'Bereich B '!$L$37</f>
        <v>5</v>
      </c>
      <c r="W23" s="17">
        <f t="shared" si="5"/>
        <v>5</v>
      </c>
      <c r="X23" s="17">
        <f t="shared" si="6"/>
        <v>9</v>
      </c>
      <c r="Y23" s="17">
        <f t="shared" si="7"/>
        <v>0.5625</v>
      </c>
      <c r="Z23" s="17">
        <f t="shared" si="8"/>
        <v>10</v>
      </c>
      <c r="AA23" s="17" t="str">
        <f t="shared" si="9"/>
        <v/>
      </c>
      <c r="AB23" s="17">
        <v>14</v>
      </c>
      <c r="AC23" s="17">
        <f t="shared" si="10"/>
        <v>9</v>
      </c>
      <c r="AD23" s="17">
        <f t="shared" si="11"/>
        <v>0.5625</v>
      </c>
      <c r="AE23" s="17">
        <f t="shared" si="12"/>
        <v>100</v>
      </c>
      <c r="AF23" s="17" t="str">
        <f t="shared" si="13"/>
        <v/>
      </c>
      <c r="AG23" s="17">
        <v>14</v>
      </c>
      <c r="AH23" s="17">
        <f t="shared" si="14"/>
        <v>9</v>
      </c>
      <c r="AI23" s="17">
        <f t="shared" si="15"/>
        <v>0.5625</v>
      </c>
      <c r="AJ23" s="17">
        <f t="shared" si="16"/>
        <v>0</v>
      </c>
      <c r="AK23" s="17" t="str">
        <f t="shared" si="17"/>
        <v/>
      </c>
    </row>
    <row r="24" spans="1:37" ht="15.75" x14ac:dyDescent="0.25">
      <c r="A24" s="205"/>
      <c r="B24" s="304"/>
      <c r="C24" s="304"/>
      <c r="D24" s="304"/>
      <c r="E24" s="304"/>
      <c r="F24" s="304"/>
      <c r="G24" s="204"/>
      <c r="H24" s="204"/>
      <c r="I24" s="204"/>
      <c r="J24" s="205"/>
      <c r="L24" s="35">
        <v>15</v>
      </c>
      <c r="M24" s="17">
        <f>IF('Bereich C '!$L$38="","nein",'Bereich C '!$L$38)</f>
        <v>5</v>
      </c>
      <c r="N24" s="17">
        <f t="shared" si="1"/>
        <v>5</v>
      </c>
      <c r="O24" s="17">
        <f t="shared" si="2"/>
        <v>10</v>
      </c>
      <c r="P24" s="17">
        <f t="shared" si="3"/>
        <v>1.875</v>
      </c>
      <c r="Q24" s="17">
        <f t="shared" si="4"/>
        <v>20</v>
      </c>
      <c r="R24" s="17" t="str">
        <f t="shared" si="0"/>
        <v/>
      </c>
      <c r="S24" s="17"/>
      <c r="T24" s="17"/>
      <c r="U24" s="17">
        <v>15</v>
      </c>
      <c r="V24" s="17">
        <f>'Bereich B '!$L$37</f>
        <v>5</v>
      </c>
      <c r="W24" s="17">
        <f t="shared" si="5"/>
        <v>5</v>
      </c>
      <c r="X24" s="17">
        <f t="shared" si="6"/>
        <v>10</v>
      </c>
      <c r="Y24" s="17">
        <f t="shared" si="7"/>
        <v>0.625</v>
      </c>
      <c r="Z24" s="17">
        <f t="shared" si="8"/>
        <v>10</v>
      </c>
      <c r="AA24" s="17" t="str">
        <f t="shared" si="9"/>
        <v/>
      </c>
      <c r="AB24" s="17">
        <v>15</v>
      </c>
      <c r="AC24" s="17">
        <f t="shared" si="10"/>
        <v>10</v>
      </c>
      <c r="AD24" s="17">
        <f t="shared" si="11"/>
        <v>0.625</v>
      </c>
      <c r="AE24" s="17">
        <f t="shared" si="12"/>
        <v>100</v>
      </c>
      <c r="AF24" s="17" t="str">
        <f t="shared" si="13"/>
        <v/>
      </c>
      <c r="AG24" s="17">
        <v>15</v>
      </c>
      <c r="AH24" s="17">
        <f t="shared" si="14"/>
        <v>10</v>
      </c>
      <c r="AI24" s="17">
        <f t="shared" si="15"/>
        <v>0.625</v>
      </c>
      <c r="AJ24" s="17">
        <f t="shared" si="16"/>
        <v>0</v>
      </c>
      <c r="AK24" s="17" t="str">
        <f t="shared" si="17"/>
        <v/>
      </c>
    </row>
    <row r="25" spans="1:37" ht="15.75" x14ac:dyDescent="0.25">
      <c r="A25" s="205"/>
      <c r="B25" s="304"/>
      <c r="C25" s="304"/>
      <c r="D25" s="304"/>
      <c r="E25" s="304"/>
      <c r="F25" s="304"/>
      <c r="G25" s="204"/>
      <c r="H25" s="204"/>
      <c r="I25" s="204"/>
      <c r="J25" s="205"/>
      <c r="L25" s="35">
        <v>16</v>
      </c>
      <c r="M25" s="17">
        <f>IF('Bereich C '!$L$38="","nein",'Bereich C '!$L$38)</f>
        <v>5</v>
      </c>
      <c r="N25" s="17">
        <f t="shared" si="1"/>
        <v>5</v>
      </c>
      <c r="O25" s="17">
        <f t="shared" si="2"/>
        <v>11</v>
      </c>
      <c r="P25" s="17">
        <f t="shared" si="3"/>
        <v>2.0625</v>
      </c>
      <c r="Q25" s="17">
        <f t="shared" si="4"/>
        <v>20</v>
      </c>
      <c r="R25" s="17" t="str">
        <f t="shared" si="0"/>
        <v/>
      </c>
      <c r="S25" s="17"/>
      <c r="T25" s="17"/>
      <c r="U25" s="17">
        <v>16</v>
      </c>
      <c r="V25" s="17">
        <f>'Bereich B '!$L$37</f>
        <v>5</v>
      </c>
      <c r="W25" s="17">
        <f t="shared" si="5"/>
        <v>5</v>
      </c>
      <c r="X25" s="17">
        <f t="shared" si="6"/>
        <v>11</v>
      </c>
      <c r="Y25" s="17">
        <f t="shared" si="7"/>
        <v>0.6875</v>
      </c>
      <c r="Z25" s="17">
        <f t="shared" si="8"/>
        <v>10</v>
      </c>
      <c r="AA25" s="17" t="str">
        <f t="shared" si="9"/>
        <v/>
      </c>
      <c r="AB25" s="17">
        <v>16</v>
      </c>
      <c r="AC25" s="17">
        <f t="shared" si="10"/>
        <v>11</v>
      </c>
      <c r="AD25" s="17">
        <f t="shared" si="11"/>
        <v>0.6875</v>
      </c>
      <c r="AE25" s="17">
        <f t="shared" si="12"/>
        <v>100</v>
      </c>
      <c r="AF25" s="17" t="str">
        <f t="shared" si="13"/>
        <v/>
      </c>
      <c r="AG25" s="17">
        <v>16</v>
      </c>
      <c r="AH25" s="17">
        <f t="shared" si="14"/>
        <v>11</v>
      </c>
      <c r="AI25" s="17">
        <f t="shared" si="15"/>
        <v>0.6875</v>
      </c>
      <c r="AJ25" s="17">
        <f t="shared" si="16"/>
        <v>0</v>
      </c>
      <c r="AK25" s="17" t="str">
        <f t="shared" si="17"/>
        <v/>
      </c>
    </row>
    <row r="26" spans="1:37" ht="15.75" x14ac:dyDescent="0.25">
      <c r="A26" s="205"/>
      <c r="B26" s="304"/>
      <c r="C26" s="304"/>
      <c r="D26" s="304"/>
      <c r="E26" s="304"/>
      <c r="F26" s="304"/>
      <c r="G26" s="204"/>
      <c r="H26" s="204"/>
      <c r="I26" s="204"/>
      <c r="J26" s="205"/>
      <c r="L26" s="35">
        <v>17</v>
      </c>
      <c r="M26" s="17">
        <f>IF('Bereich C '!$L$38="","nein",'Bereich C '!$L$38)</f>
        <v>5</v>
      </c>
      <c r="N26" s="17">
        <f t="shared" si="1"/>
        <v>5</v>
      </c>
      <c r="O26" s="17">
        <f t="shared" si="2"/>
        <v>12</v>
      </c>
      <c r="P26" s="17">
        <f t="shared" si="3"/>
        <v>2.25</v>
      </c>
      <c r="Q26" s="17">
        <f t="shared" si="4"/>
        <v>20</v>
      </c>
      <c r="R26" s="17" t="str">
        <f t="shared" si="0"/>
        <v/>
      </c>
      <c r="S26" s="17"/>
      <c r="T26" s="17"/>
      <c r="U26" s="17">
        <v>17</v>
      </c>
      <c r="V26" s="17">
        <f>'Bereich B '!$L$37</f>
        <v>5</v>
      </c>
      <c r="W26" s="17">
        <f t="shared" si="5"/>
        <v>5</v>
      </c>
      <c r="X26" s="17">
        <f t="shared" si="6"/>
        <v>12</v>
      </c>
      <c r="Y26" s="17">
        <f t="shared" si="7"/>
        <v>0.75</v>
      </c>
      <c r="Z26" s="17">
        <f t="shared" si="8"/>
        <v>10</v>
      </c>
      <c r="AA26" s="17" t="str">
        <f t="shared" si="9"/>
        <v/>
      </c>
      <c r="AB26" s="17">
        <v>17</v>
      </c>
      <c r="AC26" s="17">
        <f t="shared" si="10"/>
        <v>12</v>
      </c>
      <c r="AD26" s="17">
        <f t="shared" si="11"/>
        <v>0.75</v>
      </c>
      <c r="AE26" s="17">
        <f t="shared" si="12"/>
        <v>100</v>
      </c>
      <c r="AF26" s="17" t="str">
        <f t="shared" si="13"/>
        <v/>
      </c>
      <c r="AG26" s="17">
        <v>17</v>
      </c>
      <c r="AH26" s="17">
        <f t="shared" si="14"/>
        <v>12</v>
      </c>
      <c r="AI26" s="17">
        <f t="shared" si="15"/>
        <v>0.75</v>
      </c>
      <c r="AJ26" s="17">
        <f t="shared" si="16"/>
        <v>0</v>
      </c>
      <c r="AK26" s="17" t="str">
        <f t="shared" si="17"/>
        <v/>
      </c>
    </row>
    <row r="27" spans="1:37" ht="15.75" x14ac:dyDescent="0.25">
      <c r="A27" s="205"/>
      <c r="B27" s="304"/>
      <c r="C27" s="304"/>
      <c r="D27" s="304"/>
      <c r="E27" s="304"/>
      <c r="F27" s="304"/>
      <c r="G27" s="204"/>
      <c r="H27" s="204"/>
      <c r="I27" s="204"/>
      <c r="J27" s="205"/>
      <c r="L27" s="35">
        <v>18</v>
      </c>
      <c r="M27" s="17">
        <f>IF('Bereich C '!$L$38="","nein",'Bereich C '!$L$38)</f>
        <v>5</v>
      </c>
      <c r="N27" s="17">
        <f t="shared" si="1"/>
        <v>5</v>
      </c>
      <c r="O27" s="17">
        <f t="shared" si="2"/>
        <v>13</v>
      </c>
      <c r="P27" s="17">
        <f t="shared" si="3"/>
        <v>2.4375</v>
      </c>
      <c r="Q27" s="17">
        <f t="shared" si="4"/>
        <v>20</v>
      </c>
      <c r="R27" s="17" t="str">
        <f t="shared" si="0"/>
        <v/>
      </c>
      <c r="S27" s="17"/>
      <c r="T27" s="17"/>
      <c r="U27" s="17">
        <v>18</v>
      </c>
      <c r="V27" s="17">
        <f>'Bereich B '!$L$37</f>
        <v>5</v>
      </c>
      <c r="W27" s="17">
        <f t="shared" si="5"/>
        <v>5</v>
      </c>
      <c r="X27" s="17">
        <f t="shared" si="6"/>
        <v>13</v>
      </c>
      <c r="Y27" s="17">
        <f t="shared" si="7"/>
        <v>0.8125</v>
      </c>
      <c r="Z27" s="17">
        <f t="shared" si="8"/>
        <v>10</v>
      </c>
      <c r="AA27" s="17" t="str">
        <f t="shared" si="9"/>
        <v/>
      </c>
      <c r="AB27" s="17">
        <v>18</v>
      </c>
      <c r="AC27" s="17">
        <f t="shared" si="10"/>
        <v>13</v>
      </c>
      <c r="AD27" s="17">
        <f t="shared" si="11"/>
        <v>0.8125</v>
      </c>
      <c r="AE27" s="17">
        <f t="shared" si="12"/>
        <v>100</v>
      </c>
      <c r="AF27" s="17" t="str">
        <f t="shared" si="13"/>
        <v/>
      </c>
      <c r="AG27" s="17">
        <v>18</v>
      </c>
      <c r="AH27" s="17">
        <f t="shared" si="14"/>
        <v>13</v>
      </c>
      <c r="AI27" s="17">
        <f t="shared" si="15"/>
        <v>0.8125</v>
      </c>
      <c r="AJ27" s="17">
        <f t="shared" si="16"/>
        <v>0</v>
      </c>
      <c r="AK27" s="17" t="str">
        <f t="shared" si="17"/>
        <v/>
      </c>
    </row>
    <row r="28" spans="1:37" ht="15.75" x14ac:dyDescent="0.25">
      <c r="A28" s="205"/>
      <c r="B28" s="304"/>
      <c r="C28" s="304"/>
      <c r="D28" s="304"/>
      <c r="E28" s="304"/>
      <c r="F28" s="304"/>
      <c r="G28" s="204"/>
      <c r="H28" s="204"/>
      <c r="I28" s="204"/>
      <c r="J28" s="205"/>
      <c r="L28" s="35">
        <v>19</v>
      </c>
      <c r="M28" s="17">
        <f>IF('Bereich C '!$L$38="","nein",'Bereich C '!$L$38)</f>
        <v>5</v>
      </c>
      <c r="N28" s="17">
        <f t="shared" si="1"/>
        <v>5</v>
      </c>
      <c r="O28" s="17">
        <f t="shared" si="2"/>
        <v>14</v>
      </c>
      <c r="P28" s="17">
        <f t="shared" si="3"/>
        <v>2.625</v>
      </c>
      <c r="Q28" s="17">
        <f t="shared" si="4"/>
        <v>20</v>
      </c>
      <c r="R28" s="17" t="str">
        <f t="shared" si="0"/>
        <v/>
      </c>
      <c r="S28" s="17"/>
      <c r="T28" s="17"/>
      <c r="U28" s="17">
        <v>19</v>
      </c>
      <c r="V28" s="17">
        <f>'Bereich B '!$L$37</f>
        <v>5</v>
      </c>
      <c r="W28" s="17">
        <f t="shared" si="5"/>
        <v>5</v>
      </c>
      <c r="X28" s="17">
        <f t="shared" si="6"/>
        <v>14</v>
      </c>
      <c r="Y28" s="17">
        <f t="shared" si="7"/>
        <v>0.875</v>
      </c>
      <c r="Z28" s="17">
        <f t="shared" si="8"/>
        <v>10</v>
      </c>
      <c r="AA28" s="17" t="str">
        <f t="shared" si="9"/>
        <v/>
      </c>
      <c r="AB28" s="17">
        <v>19</v>
      </c>
      <c r="AC28" s="17">
        <f t="shared" si="10"/>
        <v>14</v>
      </c>
      <c r="AD28" s="17">
        <f t="shared" si="11"/>
        <v>0.875</v>
      </c>
      <c r="AE28" s="17">
        <f t="shared" si="12"/>
        <v>100</v>
      </c>
      <c r="AF28" s="17" t="str">
        <f t="shared" si="13"/>
        <v/>
      </c>
      <c r="AG28" s="17">
        <v>19</v>
      </c>
      <c r="AH28" s="17">
        <f t="shared" si="14"/>
        <v>14</v>
      </c>
      <c r="AI28" s="17">
        <f t="shared" si="15"/>
        <v>0.875</v>
      </c>
      <c r="AJ28" s="17">
        <f t="shared" si="16"/>
        <v>0</v>
      </c>
      <c r="AK28" s="17" t="str">
        <f t="shared" si="17"/>
        <v/>
      </c>
    </row>
    <row r="29" spans="1:37" ht="15.75" x14ac:dyDescent="0.25">
      <c r="A29" s="205"/>
      <c r="B29" s="304"/>
      <c r="C29" s="304"/>
      <c r="D29" s="304"/>
      <c r="E29" s="304"/>
      <c r="F29" s="304"/>
      <c r="G29" s="204"/>
      <c r="H29" s="204"/>
      <c r="I29" s="204"/>
      <c r="J29" s="205"/>
      <c r="L29" s="35">
        <v>20</v>
      </c>
      <c r="M29" s="17">
        <f>IF('Bereich C '!$L$38="","nein",'Bereich C '!$L$38)</f>
        <v>5</v>
      </c>
      <c r="N29" s="17">
        <f t="shared" si="1"/>
        <v>5</v>
      </c>
      <c r="O29" s="17">
        <f t="shared" si="2"/>
        <v>15</v>
      </c>
      <c r="P29" s="17">
        <f t="shared" si="3"/>
        <v>2.8125</v>
      </c>
      <c r="Q29" s="17">
        <f t="shared" si="4"/>
        <v>20</v>
      </c>
      <c r="R29" s="17">
        <f t="shared" si="0"/>
        <v>7.8125</v>
      </c>
      <c r="S29" s="17"/>
      <c r="T29" s="17"/>
      <c r="U29" s="17">
        <v>20</v>
      </c>
      <c r="V29" s="17">
        <f>'Bereich B '!$L$37</f>
        <v>5</v>
      </c>
      <c r="W29" s="17">
        <f t="shared" si="5"/>
        <v>5</v>
      </c>
      <c r="X29" s="17">
        <f t="shared" si="6"/>
        <v>15</v>
      </c>
      <c r="Y29" s="17">
        <f t="shared" si="7"/>
        <v>0.9375</v>
      </c>
      <c r="Z29" s="17">
        <f t="shared" si="8"/>
        <v>10</v>
      </c>
      <c r="AA29" s="17" t="str">
        <f t="shared" si="9"/>
        <v/>
      </c>
      <c r="AB29" s="17">
        <v>20</v>
      </c>
      <c r="AC29" s="17">
        <f t="shared" si="10"/>
        <v>15</v>
      </c>
      <c r="AD29" s="17">
        <f t="shared" si="11"/>
        <v>0.9375</v>
      </c>
      <c r="AE29" s="17">
        <f t="shared" si="12"/>
        <v>100</v>
      </c>
      <c r="AF29" s="17" t="str">
        <f t="shared" si="13"/>
        <v/>
      </c>
      <c r="AG29" s="17">
        <v>20</v>
      </c>
      <c r="AH29" s="17">
        <f t="shared" si="14"/>
        <v>15</v>
      </c>
      <c r="AI29" s="17">
        <f t="shared" si="15"/>
        <v>0.9375</v>
      </c>
      <c r="AJ29" s="17">
        <f t="shared" si="16"/>
        <v>0</v>
      </c>
      <c r="AK29" s="17" t="str">
        <f t="shared" si="17"/>
        <v/>
      </c>
    </row>
    <row r="30" spans="1:37" ht="15.75" x14ac:dyDescent="0.25">
      <c r="A30" s="205"/>
      <c r="B30" s="304"/>
      <c r="C30" s="304"/>
      <c r="D30" s="304"/>
      <c r="E30" s="304"/>
      <c r="F30" s="304"/>
      <c r="G30" s="204"/>
      <c r="H30" s="204"/>
      <c r="I30" s="204"/>
      <c r="J30" s="205"/>
      <c r="L30" s="35">
        <v>21</v>
      </c>
      <c r="M30" s="17">
        <f>IF('Bereich C '!$L$38="","nein",'Bereich C '!$L$38)</f>
        <v>5</v>
      </c>
      <c r="N30" s="17">
        <f t="shared" si="1"/>
        <v>5</v>
      </c>
      <c r="O30" s="17">
        <f t="shared" si="2"/>
        <v>16</v>
      </c>
      <c r="P30" s="17">
        <f t="shared" si="3"/>
        <v>3</v>
      </c>
      <c r="Q30" s="17">
        <f t="shared" si="4"/>
        <v>20</v>
      </c>
      <c r="R30" s="17" t="str">
        <f t="shared" si="0"/>
        <v/>
      </c>
      <c r="S30" s="17"/>
      <c r="T30" s="17"/>
      <c r="U30" s="17">
        <v>21</v>
      </c>
      <c r="V30" s="17">
        <f>'Bereich B '!$L$37</f>
        <v>5</v>
      </c>
      <c r="W30" s="17">
        <f t="shared" si="5"/>
        <v>5</v>
      </c>
      <c r="X30" s="17">
        <f t="shared" si="6"/>
        <v>16</v>
      </c>
      <c r="Y30" s="17">
        <f t="shared" si="7"/>
        <v>1</v>
      </c>
      <c r="Z30" s="17">
        <f t="shared" si="8"/>
        <v>10</v>
      </c>
      <c r="AA30" s="17" t="str">
        <f t="shared" si="9"/>
        <v/>
      </c>
      <c r="AB30" s="17">
        <v>21</v>
      </c>
      <c r="AC30" s="17">
        <f t="shared" si="10"/>
        <v>16</v>
      </c>
      <c r="AD30" s="17">
        <f t="shared" si="11"/>
        <v>1</v>
      </c>
      <c r="AE30" s="17">
        <f t="shared" si="12"/>
        <v>100</v>
      </c>
      <c r="AF30" s="17" t="str">
        <f t="shared" si="13"/>
        <v/>
      </c>
      <c r="AG30" s="17">
        <v>21</v>
      </c>
      <c r="AH30" s="17">
        <f t="shared" si="14"/>
        <v>16</v>
      </c>
      <c r="AI30" s="17">
        <f t="shared" si="15"/>
        <v>1</v>
      </c>
      <c r="AJ30" s="17">
        <f t="shared" si="16"/>
        <v>0</v>
      </c>
      <c r="AK30" s="17" t="str">
        <f t="shared" si="17"/>
        <v/>
      </c>
    </row>
    <row r="31" spans="1:37" ht="15.75" x14ac:dyDescent="0.25">
      <c r="A31" s="205"/>
      <c r="B31" s="304"/>
      <c r="C31" s="304"/>
      <c r="D31" s="304"/>
      <c r="E31" s="304"/>
      <c r="F31" s="304"/>
      <c r="G31" s="204"/>
      <c r="H31" s="204"/>
      <c r="I31" s="204"/>
      <c r="J31" s="205"/>
      <c r="L31" s="35">
        <v>22</v>
      </c>
      <c r="M31" s="17">
        <f>IF('Bereich C '!$L$38="","nein",'Bereich C '!$L$38)</f>
        <v>5</v>
      </c>
      <c r="N31" s="17">
        <f t="shared" si="1"/>
        <v>5</v>
      </c>
      <c r="O31" s="17">
        <f t="shared" si="2"/>
        <v>17</v>
      </c>
      <c r="P31" s="17">
        <f t="shared" si="3"/>
        <v>3.1875</v>
      </c>
      <c r="Q31" s="17">
        <f t="shared" si="4"/>
        <v>20</v>
      </c>
      <c r="R31" s="17" t="str">
        <f t="shared" si="0"/>
        <v/>
      </c>
      <c r="S31" s="17"/>
      <c r="T31" s="17"/>
      <c r="U31" s="17">
        <v>22</v>
      </c>
      <c r="V31" s="17">
        <f>'Bereich B '!$L$37</f>
        <v>5</v>
      </c>
      <c r="W31" s="17">
        <f t="shared" si="5"/>
        <v>5</v>
      </c>
      <c r="X31" s="17">
        <f t="shared" si="6"/>
        <v>17</v>
      </c>
      <c r="Y31" s="17">
        <f t="shared" si="7"/>
        <v>1.0625</v>
      </c>
      <c r="Z31" s="17">
        <f t="shared" si="8"/>
        <v>10</v>
      </c>
      <c r="AA31" s="17" t="str">
        <f t="shared" si="9"/>
        <v/>
      </c>
      <c r="AB31" s="17">
        <v>22</v>
      </c>
      <c r="AC31" s="17">
        <f t="shared" si="10"/>
        <v>17</v>
      </c>
      <c r="AD31" s="17">
        <f t="shared" si="11"/>
        <v>1.0625</v>
      </c>
      <c r="AE31" s="17">
        <f t="shared" si="12"/>
        <v>100</v>
      </c>
      <c r="AF31" s="17" t="str">
        <f t="shared" si="13"/>
        <v/>
      </c>
      <c r="AG31" s="17">
        <v>22</v>
      </c>
      <c r="AH31" s="17">
        <f t="shared" si="14"/>
        <v>17</v>
      </c>
      <c r="AI31" s="17">
        <f t="shared" si="15"/>
        <v>1.0625</v>
      </c>
      <c r="AJ31" s="17">
        <f t="shared" si="16"/>
        <v>0</v>
      </c>
      <c r="AK31" s="17" t="str">
        <f t="shared" si="17"/>
        <v/>
      </c>
    </row>
    <row r="32" spans="1:37" ht="15.75" x14ac:dyDescent="0.25">
      <c r="A32" s="205"/>
      <c r="B32" s="304"/>
      <c r="C32" s="304"/>
      <c r="D32" s="304"/>
      <c r="E32" s="304"/>
      <c r="F32" s="304"/>
      <c r="G32" s="204"/>
      <c r="H32" s="204"/>
      <c r="I32" s="204"/>
      <c r="J32" s="205"/>
      <c r="L32" s="35">
        <v>23</v>
      </c>
      <c r="M32" s="17">
        <f>IF('Bereich C '!$L$38="","nein",'Bereich C '!$L$38)</f>
        <v>5</v>
      </c>
      <c r="N32" s="17">
        <f t="shared" si="1"/>
        <v>5</v>
      </c>
      <c r="O32" s="17">
        <f t="shared" si="2"/>
        <v>18</v>
      </c>
      <c r="P32" s="17">
        <f t="shared" si="3"/>
        <v>3.375</v>
      </c>
      <c r="Q32" s="17">
        <f t="shared" si="4"/>
        <v>20</v>
      </c>
      <c r="R32" s="17" t="str">
        <f t="shared" si="0"/>
        <v/>
      </c>
      <c r="S32" s="17"/>
      <c r="T32" s="17"/>
      <c r="U32" s="17">
        <v>23</v>
      </c>
      <c r="V32" s="17">
        <f>'Bereich B '!$L$37</f>
        <v>5</v>
      </c>
      <c r="W32" s="17">
        <f t="shared" si="5"/>
        <v>5</v>
      </c>
      <c r="X32" s="17">
        <f t="shared" si="6"/>
        <v>18</v>
      </c>
      <c r="Y32" s="17">
        <f t="shared" si="7"/>
        <v>1.125</v>
      </c>
      <c r="Z32" s="17">
        <f t="shared" si="8"/>
        <v>10</v>
      </c>
      <c r="AA32" s="17" t="str">
        <f t="shared" si="9"/>
        <v/>
      </c>
      <c r="AB32" s="17">
        <v>23</v>
      </c>
      <c r="AC32" s="17">
        <f t="shared" si="10"/>
        <v>18</v>
      </c>
      <c r="AD32" s="17">
        <f t="shared" si="11"/>
        <v>1.125</v>
      </c>
      <c r="AE32" s="17">
        <f t="shared" si="12"/>
        <v>100</v>
      </c>
      <c r="AF32" s="17" t="str">
        <f t="shared" si="13"/>
        <v/>
      </c>
      <c r="AG32" s="17">
        <v>23</v>
      </c>
      <c r="AH32" s="17">
        <f t="shared" si="14"/>
        <v>18</v>
      </c>
      <c r="AI32" s="17">
        <f t="shared" si="15"/>
        <v>1.125</v>
      </c>
      <c r="AJ32" s="17">
        <f t="shared" si="16"/>
        <v>0</v>
      </c>
      <c r="AK32" s="17" t="str">
        <f t="shared" si="17"/>
        <v/>
      </c>
    </row>
    <row r="33" spans="1:37" ht="15.75" x14ac:dyDescent="0.25">
      <c r="A33" s="205"/>
      <c r="B33" s="304"/>
      <c r="C33" s="304"/>
      <c r="D33" s="304"/>
      <c r="E33" s="304"/>
      <c r="F33" s="304"/>
      <c r="G33" s="204"/>
      <c r="H33" s="204"/>
      <c r="I33" s="204"/>
      <c r="J33" s="205"/>
      <c r="L33" s="35">
        <v>24</v>
      </c>
      <c r="M33" s="17">
        <f>IF('Bereich C '!$L$38="","nein",'Bereich C '!$L$38)</f>
        <v>5</v>
      </c>
      <c r="N33" s="17">
        <f t="shared" si="1"/>
        <v>5</v>
      </c>
      <c r="O33" s="17">
        <f t="shared" si="2"/>
        <v>19</v>
      </c>
      <c r="P33" s="17">
        <f t="shared" si="3"/>
        <v>3.5625</v>
      </c>
      <c r="Q33" s="17">
        <f t="shared" si="4"/>
        <v>20</v>
      </c>
      <c r="R33" s="17" t="str">
        <f t="shared" si="0"/>
        <v/>
      </c>
      <c r="S33" s="17"/>
      <c r="T33" s="17"/>
      <c r="U33" s="17">
        <v>24</v>
      </c>
      <c r="V33" s="17">
        <f>'Bereich B '!$L$37</f>
        <v>5</v>
      </c>
      <c r="W33" s="17">
        <f t="shared" si="5"/>
        <v>5</v>
      </c>
      <c r="X33" s="17">
        <f t="shared" si="6"/>
        <v>19</v>
      </c>
      <c r="Y33" s="17">
        <f t="shared" si="7"/>
        <v>1.1875</v>
      </c>
      <c r="Z33" s="17">
        <f t="shared" si="8"/>
        <v>10</v>
      </c>
      <c r="AA33" s="17" t="str">
        <f t="shared" si="9"/>
        <v/>
      </c>
      <c r="AB33" s="17">
        <v>24</v>
      </c>
      <c r="AC33" s="17">
        <f t="shared" si="10"/>
        <v>19</v>
      </c>
      <c r="AD33" s="17">
        <f t="shared" si="11"/>
        <v>1.1875</v>
      </c>
      <c r="AE33" s="17">
        <f t="shared" si="12"/>
        <v>100</v>
      </c>
      <c r="AF33" s="17" t="str">
        <f t="shared" si="13"/>
        <v/>
      </c>
      <c r="AG33" s="17">
        <v>24</v>
      </c>
      <c r="AH33" s="17">
        <f t="shared" si="14"/>
        <v>19</v>
      </c>
      <c r="AI33" s="17">
        <f t="shared" si="15"/>
        <v>1.1875</v>
      </c>
      <c r="AJ33" s="17">
        <f t="shared" si="16"/>
        <v>0</v>
      </c>
      <c r="AK33" s="17" t="str">
        <f t="shared" si="17"/>
        <v/>
      </c>
    </row>
    <row r="34" spans="1:37" ht="15.75" x14ac:dyDescent="0.25">
      <c r="A34" s="205"/>
      <c r="B34" s="304"/>
      <c r="C34" s="304"/>
      <c r="D34" s="304"/>
      <c r="E34" s="304"/>
      <c r="F34" s="304"/>
      <c r="G34" s="204"/>
      <c r="H34" s="204"/>
      <c r="I34" s="204"/>
      <c r="J34" s="205"/>
      <c r="L34" s="35">
        <v>25</v>
      </c>
      <c r="M34" s="17">
        <f>IF('Bereich C '!$L$38="","nein",'Bereich C '!$L$38)</f>
        <v>5</v>
      </c>
      <c r="N34" s="17">
        <f t="shared" si="1"/>
        <v>5</v>
      </c>
      <c r="O34" s="17">
        <f t="shared" si="2"/>
        <v>20</v>
      </c>
      <c r="P34" s="17">
        <f t="shared" si="3"/>
        <v>3.75</v>
      </c>
      <c r="Q34" s="17">
        <f t="shared" si="4"/>
        <v>20</v>
      </c>
      <c r="R34" s="17" t="str">
        <f t="shared" si="0"/>
        <v/>
      </c>
      <c r="S34" s="17"/>
      <c r="T34" s="17"/>
      <c r="U34" s="17">
        <v>25</v>
      </c>
      <c r="V34" s="17">
        <f>'Bereich B '!$L$37</f>
        <v>5</v>
      </c>
      <c r="W34" s="17">
        <f t="shared" si="5"/>
        <v>5</v>
      </c>
      <c r="X34" s="17">
        <f t="shared" si="6"/>
        <v>20</v>
      </c>
      <c r="Y34" s="17">
        <f t="shared" si="7"/>
        <v>1.25</v>
      </c>
      <c r="Z34" s="17">
        <f t="shared" si="8"/>
        <v>10</v>
      </c>
      <c r="AA34" s="17" t="str">
        <f t="shared" si="9"/>
        <v/>
      </c>
      <c r="AB34" s="17">
        <v>25</v>
      </c>
      <c r="AC34" s="17">
        <f t="shared" si="10"/>
        <v>20</v>
      </c>
      <c r="AD34" s="17">
        <f t="shared" si="11"/>
        <v>1.25</v>
      </c>
      <c r="AE34" s="17">
        <f t="shared" si="12"/>
        <v>100</v>
      </c>
      <c r="AF34" s="17" t="str">
        <f t="shared" si="13"/>
        <v/>
      </c>
      <c r="AG34" s="17">
        <v>25</v>
      </c>
      <c r="AH34" s="17">
        <f t="shared" si="14"/>
        <v>20</v>
      </c>
      <c r="AI34" s="17">
        <f t="shared" si="15"/>
        <v>1.25</v>
      </c>
      <c r="AJ34" s="17">
        <f t="shared" si="16"/>
        <v>0</v>
      </c>
      <c r="AK34" s="17" t="str">
        <f t="shared" si="17"/>
        <v/>
      </c>
    </row>
    <row r="35" spans="1:37" ht="15.75" x14ac:dyDescent="0.25">
      <c r="A35" s="205"/>
      <c r="B35" s="304"/>
      <c r="C35" s="304"/>
      <c r="D35" s="304"/>
      <c r="E35" s="304"/>
      <c r="F35" s="304"/>
      <c r="G35" s="204"/>
      <c r="H35" s="204"/>
      <c r="I35" s="204"/>
      <c r="J35" s="205"/>
      <c r="L35" s="35">
        <v>26</v>
      </c>
      <c r="M35" s="17">
        <f>IF('Bereich C '!$L$38="","nein",'Bereich C '!$L$38)</f>
        <v>5</v>
      </c>
      <c r="N35" s="17">
        <f t="shared" si="1"/>
        <v>5</v>
      </c>
      <c r="O35" s="17">
        <f t="shared" si="2"/>
        <v>21</v>
      </c>
      <c r="P35" s="17">
        <f t="shared" si="3"/>
        <v>3.9375</v>
      </c>
      <c r="Q35" s="17">
        <f t="shared" si="4"/>
        <v>20</v>
      </c>
      <c r="R35" s="17" t="str">
        <f t="shared" si="0"/>
        <v/>
      </c>
      <c r="S35" s="17"/>
      <c r="T35" s="17"/>
      <c r="U35" s="17">
        <v>26</v>
      </c>
      <c r="V35" s="17">
        <f>'Bereich B '!$L$37</f>
        <v>5</v>
      </c>
      <c r="W35" s="17">
        <f t="shared" si="5"/>
        <v>5</v>
      </c>
      <c r="X35" s="17">
        <f t="shared" si="6"/>
        <v>21</v>
      </c>
      <c r="Y35" s="17">
        <f t="shared" si="7"/>
        <v>1.3125</v>
      </c>
      <c r="Z35" s="17">
        <f t="shared" si="8"/>
        <v>10</v>
      </c>
      <c r="AA35" s="17" t="str">
        <f t="shared" si="9"/>
        <v/>
      </c>
      <c r="AB35" s="17">
        <v>26</v>
      </c>
      <c r="AC35" s="17">
        <f t="shared" si="10"/>
        <v>21</v>
      </c>
      <c r="AD35" s="17">
        <f t="shared" si="11"/>
        <v>1.3125</v>
      </c>
      <c r="AE35" s="17">
        <f t="shared" si="12"/>
        <v>100</v>
      </c>
      <c r="AF35" s="17" t="str">
        <f t="shared" si="13"/>
        <v/>
      </c>
      <c r="AG35" s="17">
        <v>26</v>
      </c>
      <c r="AH35" s="17">
        <f t="shared" si="14"/>
        <v>21</v>
      </c>
      <c r="AI35" s="17">
        <f t="shared" si="15"/>
        <v>1.3125</v>
      </c>
      <c r="AJ35" s="17">
        <f t="shared" si="16"/>
        <v>0</v>
      </c>
      <c r="AK35" s="17" t="str">
        <f t="shared" si="17"/>
        <v/>
      </c>
    </row>
    <row r="36" spans="1:37" ht="15.75" x14ac:dyDescent="0.25">
      <c r="A36" s="205"/>
      <c r="B36" s="304"/>
      <c r="C36" s="304"/>
      <c r="D36" s="304"/>
      <c r="E36" s="304"/>
      <c r="F36" s="304"/>
      <c r="G36" s="204"/>
      <c r="H36" s="204"/>
      <c r="I36" s="204"/>
      <c r="J36" s="205"/>
      <c r="L36" s="35">
        <v>27</v>
      </c>
      <c r="M36" s="17">
        <f>IF('Bereich C '!$L$38="","nein",'Bereich C '!$L$38)</f>
        <v>5</v>
      </c>
      <c r="N36" s="17">
        <f t="shared" si="1"/>
        <v>5</v>
      </c>
      <c r="O36" s="17">
        <f t="shared" si="2"/>
        <v>22</v>
      </c>
      <c r="P36" s="17">
        <f t="shared" si="3"/>
        <v>4.125</v>
      </c>
      <c r="Q36" s="17">
        <f t="shared" si="4"/>
        <v>20</v>
      </c>
      <c r="R36" s="17" t="str">
        <f t="shared" si="0"/>
        <v/>
      </c>
      <c r="S36" s="17"/>
      <c r="T36" s="17"/>
      <c r="U36" s="17">
        <v>27</v>
      </c>
      <c r="V36" s="17">
        <f>'Bereich B '!$L$37</f>
        <v>5</v>
      </c>
      <c r="W36" s="17">
        <f t="shared" si="5"/>
        <v>5</v>
      </c>
      <c r="X36" s="17">
        <f t="shared" si="6"/>
        <v>22</v>
      </c>
      <c r="Y36" s="17">
        <f t="shared" si="7"/>
        <v>1.375</v>
      </c>
      <c r="Z36" s="17">
        <f t="shared" si="8"/>
        <v>10</v>
      </c>
      <c r="AA36" s="17" t="str">
        <f t="shared" si="9"/>
        <v/>
      </c>
      <c r="AB36" s="17">
        <v>27</v>
      </c>
      <c r="AC36" s="17">
        <f t="shared" si="10"/>
        <v>22</v>
      </c>
      <c r="AD36" s="17">
        <f t="shared" si="11"/>
        <v>1.375</v>
      </c>
      <c r="AE36" s="17">
        <f t="shared" si="12"/>
        <v>100</v>
      </c>
      <c r="AF36" s="17" t="str">
        <f t="shared" si="13"/>
        <v/>
      </c>
      <c r="AG36" s="17">
        <v>27</v>
      </c>
      <c r="AH36" s="17">
        <f t="shared" si="14"/>
        <v>22</v>
      </c>
      <c r="AI36" s="17">
        <f t="shared" si="15"/>
        <v>1.375</v>
      </c>
      <c r="AJ36" s="17">
        <f t="shared" si="16"/>
        <v>0</v>
      </c>
      <c r="AK36" s="17" t="str">
        <f t="shared" si="17"/>
        <v/>
      </c>
    </row>
    <row r="37" spans="1:37" ht="15.75" x14ac:dyDescent="0.25">
      <c r="A37" s="205"/>
      <c r="B37" s="304"/>
      <c r="C37" s="304"/>
      <c r="D37" s="304"/>
      <c r="E37" s="304"/>
      <c r="F37" s="304"/>
      <c r="G37" s="204"/>
      <c r="H37" s="204"/>
      <c r="I37" s="204"/>
      <c r="J37" s="205"/>
      <c r="L37" s="35">
        <v>28</v>
      </c>
      <c r="M37" s="17">
        <f>IF('Bereich C '!$L$38="","nein",'Bereich C '!$L$38)</f>
        <v>5</v>
      </c>
      <c r="N37" s="17">
        <f t="shared" si="1"/>
        <v>5</v>
      </c>
      <c r="O37" s="17">
        <f t="shared" si="2"/>
        <v>23</v>
      </c>
      <c r="P37" s="17">
        <f t="shared" si="3"/>
        <v>4.3125</v>
      </c>
      <c r="Q37" s="17">
        <f t="shared" si="4"/>
        <v>20</v>
      </c>
      <c r="R37" s="17" t="str">
        <f t="shared" si="0"/>
        <v/>
      </c>
      <c r="S37" s="17"/>
      <c r="T37" s="17"/>
      <c r="U37" s="17">
        <v>28</v>
      </c>
      <c r="V37" s="17">
        <f>'Bereich B '!$L$37</f>
        <v>5</v>
      </c>
      <c r="W37" s="17">
        <f t="shared" si="5"/>
        <v>5</v>
      </c>
      <c r="X37" s="17">
        <f t="shared" si="6"/>
        <v>23</v>
      </c>
      <c r="Y37" s="17">
        <f t="shared" si="7"/>
        <v>1.4375</v>
      </c>
      <c r="Z37" s="17">
        <f t="shared" si="8"/>
        <v>10</v>
      </c>
      <c r="AA37" s="17" t="str">
        <f t="shared" si="9"/>
        <v/>
      </c>
      <c r="AB37" s="17">
        <v>28</v>
      </c>
      <c r="AC37" s="17">
        <f t="shared" si="10"/>
        <v>23</v>
      </c>
      <c r="AD37" s="17">
        <f t="shared" si="11"/>
        <v>1.4375</v>
      </c>
      <c r="AE37" s="17">
        <f t="shared" si="12"/>
        <v>100</v>
      </c>
      <c r="AF37" s="17" t="str">
        <f t="shared" si="13"/>
        <v/>
      </c>
      <c r="AG37" s="17">
        <v>28</v>
      </c>
      <c r="AH37" s="17">
        <f t="shared" si="14"/>
        <v>23</v>
      </c>
      <c r="AI37" s="17">
        <f t="shared" si="15"/>
        <v>1.4375</v>
      </c>
      <c r="AJ37" s="17">
        <f t="shared" si="16"/>
        <v>0</v>
      </c>
      <c r="AK37" s="17" t="str">
        <f t="shared" si="17"/>
        <v/>
      </c>
    </row>
    <row r="38" spans="1:37" ht="15.75" x14ac:dyDescent="0.25">
      <c r="A38" s="205"/>
      <c r="B38" s="304"/>
      <c r="C38" s="304"/>
      <c r="D38" s="304"/>
      <c r="E38" s="304"/>
      <c r="F38" s="304"/>
      <c r="G38" s="204"/>
      <c r="H38" s="204"/>
      <c r="I38" s="204"/>
      <c r="J38" s="205"/>
      <c r="L38" s="35">
        <v>29</v>
      </c>
      <c r="M38" s="17">
        <f>IF('Bereich C '!$L$38="","nein",'Bereich C '!$L$38)</f>
        <v>5</v>
      </c>
      <c r="N38" s="17">
        <f t="shared" si="1"/>
        <v>5</v>
      </c>
      <c r="O38" s="17">
        <f t="shared" si="2"/>
        <v>24</v>
      </c>
      <c r="P38" s="17">
        <f t="shared" si="3"/>
        <v>4.5</v>
      </c>
      <c r="Q38" s="17">
        <f t="shared" si="4"/>
        <v>20</v>
      </c>
      <c r="R38" s="17" t="str">
        <f t="shared" si="0"/>
        <v/>
      </c>
      <c r="S38" s="17"/>
      <c r="T38" s="17"/>
      <c r="U38" s="17">
        <v>29</v>
      </c>
      <c r="V38" s="17">
        <f>'Bereich B '!$L$37</f>
        <v>5</v>
      </c>
      <c r="W38" s="17">
        <f t="shared" si="5"/>
        <v>5</v>
      </c>
      <c r="X38" s="17">
        <f t="shared" si="6"/>
        <v>24</v>
      </c>
      <c r="Y38" s="17">
        <f t="shared" si="7"/>
        <v>1.5</v>
      </c>
      <c r="Z38" s="17">
        <f t="shared" si="8"/>
        <v>10</v>
      </c>
      <c r="AA38" s="17" t="str">
        <f t="shared" si="9"/>
        <v/>
      </c>
      <c r="AB38" s="17">
        <v>29</v>
      </c>
      <c r="AC38" s="17">
        <f t="shared" si="10"/>
        <v>24</v>
      </c>
      <c r="AD38" s="17">
        <f t="shared" si="11"/>
        <v>1.5</v>
      </c>
      <c r="AE38" s="17">
        <f t="shared" si="12"/>
        <v>100</v>
      </c>
      <c r="AF38" s="17" t="str">
        <f t="shared" si="13"/>
        <v/>
      </c>
      <c r="AG38" s="17">
        <v>29</v>
      </c>
      <c r="AH38" s="17">
        <f t="shared" si="14"/>
        <v>24</v>
      </c>
      <c r="AI38" s="17">
        <f t="shared" si="15"/>
        <v>1.5</v>
      </c>
      <c r="AJ38" s="17">
        <f t="shared" si="16"/>
        <v>0</v>
      </c>
      <c r="AK38" s="17" t="str">
        <f t="shared" si="17"/>
        <v/>
      </c>
    </row>
    <row r="39" spans="1:37" ht="15.75" x14ac:dyDescent="0.25">
      <c r="A39" s="205"/>
      <c r="B39" s="304"/>
      <c r="C39" s="304"/>
      <c r="D39" s="304"/>
      <c r="E39" s="304"/>
      <c r="F39" s="304"/>
      <c r="G39" s="204"/>
      <c r="H39" s="204"/>
      <c r="I39" s="204"/>
      <c r="J39" s="205"/>
      <c r="L39" s="35">
        <v>30</v>
      </c>
      <c r="M39" s="17">
        <f>IF('Bereich C '!$L$38="","nein",'Bereich C '!$L$38)</f>
        <v>5</v>
      </c>
      <c r="N39" s="17">
        <f t="shared" si="1"/>
        <v>5</v>
      </c>
      <c r="O39" s="17">
        <f t="shared" si="2"/>
        <v>25</v>
      </c>
      <c r="P39" s="17">
        <f t="shared" si="3"/>
        <v>4.6875</v>
      </c>
      <c r="Q39" s="17">
        <f t="shared" si="4"/>
        <v>20</v>
      </c>
      <c r="R39" s="17" t="str">
        <f t="shared" si="0"/>
        <v/>
      </c>
      <c r="S39" s="17"/>
      <c r="T39" s="17"/>
      <c r="U39" s="17">
        <v>30</v>
      </c>
      <c r="V39" s="17">
        <f>'Bereich B '!$L$37</f>
        <v>5</v>
      </c>
      <c r="W39" s="17">
        <f t="shared" si="5"/>
        <v>5</v>
      </c>
      <c r="X39" s="17">
        <f t="shared" si="6"/>
        <v>25</v>
      </c>
      <c r="Y39" s="17">
        <f t="shared" si="7"/>
        <v>1.5625</v>
      </c>
      <c r="Z39" s="17">
        <f t="shared" si="8"/>
        <v>10</v>
      </c>
      <c r="AA39" s="17" t="str">
        <f t="shared" si="9"/>
        <v/>
      </c>
      <c r="AB39" s="17">
        <v>30</v>
      </c>
      <c r="AC39" s="17">
        <f t="shared" si="10"/>
        <v>25</v>
      </c>
      <c r="AD39" s="17">
        <f t="shared" si="11"/>
        <v>1.5625</v>
      </c>
      <c r="AE39" s="17">
        <f t="shared" si="12"/>
        <v>100</v>
      </c>
      <c r="AF39" s="17" t="str">
        <f t="shared" si="13"/>
        <v/>
      </c>
      <c r="AG39" s="17">
        <v>30</v>
      </c>
      <c r="AH39" s="17">
        <f t="shared" si="14"/>
        <v>25</v>
      </c>
      <c r="AI39" s="17">
        <f t="shared" si="15"/>
        <v>1.5625</v>
      </c>
      <c r="AJ39" s="17">
        <f t="shared" si="16"/>
        <v>0</v>
      </c>
      <c r="AK39" s="17" t="str">
        <f t="shared" si="17"/>
        <v/>
      </c>
    </row>
    <row r="40" spans="1:37" ht="15.75" x14ac:dyDescent="0.25">
      <c r="A40" s="205"/>
      <c r="B40" s="304"/>
      <c r="C40" s="304"/>
      <c r="D40" s="304"/>
      <c r="E40" s="304"/>
      <c r="F40" s="304"/>
      <c r="G40" s="204"/>
      <c r="H40" s="204"/>
      <c r="I40" s="204"/>
      <c r="J40" s="205"/>
      <c r="L40" s="35">
        <v>31</v>
      </c>
      <c r="M40" s="17">
        <f>IF('Bereich C '!$L$38="","nein",'Bereich C '!$L$38)</f>
        <v>5</v>
      </c>
      <c r="N40" s="17">
        <f t="shared" si="1"/>
        <v>5</v>
      </c>
      <c r="O40" s="17">
        <f t="shared" si="2"/>
        <v>26</v>
      </c>
      <c r="P40" s="17">
        <f t="shared" si="3"/>
        <v>4.875</v>
      </c>
      <c r="Q40" s="17">
        <f t="shared" si="4"/>
        <v>20</v>
      </c>
      <c r="R40" s="17" t="str">
        <f t="shared" si="0"/>
        <v/>
      </c>
      <c r="S40" s="17"/>
      <c r="T40" s="17"/>
      <c r="U40" s="17">
        <v>31</v>
      </c>
      <c r="V40" s="17">
        <f>'Bereich B '!$L$37</f>
        <v>5</v>
      </c>
      <c r="W40" s="17">
        <f t="shared" si="5"/>
        <v>5</v>
      </c>
      <c r="X40" s="17">
        <f t="shared" si="6"/>
        <v>26</v>
      </c>
      <c r="Y40" s="17">
        <f t="shared" si="7"/>
        <v>1.625</v>
      </c>
      <c r="Z40" s="17">
        <f t="shared" si="8"/>
        <v>10</v>
      </c>
      <c r="AA40" s="17" t="str">
        <f t="shared" si="9"/>
        <v/>
      </c>
      <c r="AB40" s="17">
        <v>31</v>
      </c>
      <c r="AC40" s="17">
        <f t="shared" si="10"/>
        <v>26</v>
      </c>
      <c r="AD40" s="17">
        <f t="shared" si="11"/>
        <v>1.625</v>
      </c>
      <c r="AE40" s="17">
        <f t="shared" si="12"/>
        <v>100</v>
      </c>
      <c r="AF40" s="17" t="str">
        <f t="shared" si="13"/>
        <v/>
      </c>
      <c r="AG40" s="17">
        <v>31</v>
      </c>
      <c r="AH40" s="17">
        <f t="shared" si="14"/>
        <v>26</v>
      </c>
      <c r="AI40" s="17">
        <f t="shared" si="15"/>
        <v>1.625</v>
      </c>
      <c r="AJ40" s="17">
        <f t="shared" si="16"/>
        <v>0</v>
      </c>
      <c r="AK40" s="17" t="str">
        <f t="shared" si="17"/>
        <v/>
      </c>
    </row>
    <row r="41" spans="1:37" ht="15.75" x14ac:dyDescent="0.25">
      <c r="A41" s="205"/>
      <c r="B41" s="304"/>
      <c r="C41" s="304"/>
      <c r="D41" s="304"/>
      <c r="E41" s="304"/>
      <c r="F41" s="304"/>
      <c r="G41" s="204"/>
      <c r="H41" s="204"/>
      <c r="I41" s="204"/>
      <c r="J41" s="205"/>
      <c r="L41" s="35">
        <v>32</v>
      </c>
      <c r="M41" s="17">
        <f>IF('Bereich C '!$L$38="","nein",'Bereich C '!$L$38)</f>
        <v>5</v>
      </c>
      <c r="N41" s="17">
        <f t="shared" si="1"/>
        <v>5</v>
      </c>
      <c r="O41" s="17">
        <f t="shared" si="2"/>
        <v>27</v>
      </c>
      <c r="P41" s="17">
        <f t="shared" si="3"/>
        <v>5.0625</v>
      </c>
      <c r="Q41" s="17">
        <f t="shared" si="4"/>
        <v>20</v>
      </c>
      <c r="R41" s="17" t="str">
        <f t="shared" ref="R41:R72" si="18">IF(Q41=L41,P41+N41,"")</f>
        <v/>
      </c>
      <c r="S41" s="17"/>
      <c r="T41" s="17"/>
      <c r="U41" s="17">
        <v>32</v>
      </c>
      <c r="V41" s="17">
        <f>'Bereich B '!$L$37</f>
        <v>5</v>
      </c>
      <c r="W41" s="17">
        <f t="shared" si="5"/>
        <v>5</v>
      </c>
      <c r="X41" s="17">
        <f t="shared" si="6"/>
        <v>27</v>
      </c>
      <c r="Y41" s="17">
        <f t="shared" si="7"/>
        <v>1.6875</v>
      </c>
      <c r="Z41" s="17">
        <f t="shared" si="8"/>
        <v>10</v>
      </c>
      <c r="AA41" s="17" t="str">
        <f t="shared" si="9"/>
        <v/>
      </c>
      <c r="AB41" s="17">
        <v>32</v>
      </c>
      <c r="AC41" s="17">
        <f t="shared" si="10"/>
        <v>27</v>
      </c>
      <c r="AD41" s="17">
        <f t="shared" si="11"/>
        <v>1.6875</v>
      </c>
      <c r="AE41" s="17">
        <f t="shared" si="12"/>
        <v>100</v>
      </c>
      <c r="AF41" s="17" t="str">
        <f t="shared" si="13"/>
        <v/>
      </c>
      <c r="AG41" s="17">
        <v>32</v>
      </c>
      <c r="AH41" s="17">
        <f t="shared" si="14"/>
        <v>27</v>
      </c>
      <c r="AI41" s="17">
        <f t="shared" si="15"/>
        <v>1.6875</v>
      </c>
      <c r="AJ41" s="17">
        <f t="shared" si="16"/>
        <v>0</v>
      </c>
      <c r="AK41" s="17" t="str">
        <f t="shared" si="17"/>
        <v/>
      </c>
    </row>
    <row r="42" spans="1:37" x14ac:dyDescent="0.25">
      <c r="A42" s="205"/>
      <c r="B42" s="205"/>
      <c r="C42" s="205"/>
      <c r="D42" s="205"/>
      <c r="E42" s="205"/>
      <c r="F42" s="205"/>
      <c r="G42" s="205"/>
      <c r="H42" s="205"/>
      <c r="I42" s="205"/>
      <c r="J42" s="205"/>
      <c r="L42" s="35">
        <v>33</v>
      </c>
      <c r="M42" s="17">
        <f>IF('Bereich C '!$L$38="","nein",'Bereich C '!$L$38)</f>
        <v>5</v>
      </c>
      <c r="N42" s="17">
        <f t="shared" si="1"/>
        <v>5</v>
      </c>
      <c r="O42" s="17">
        <f t="shared" si="2"/>
        <v>28</v>
      </c>
      <c r="P42" s="17">
        <f t="shared" si="3"/>
        <v>5.25</v>
      </c>
      <c r="Q42" s="17">
        <f t="shared" si="4"/>
        <v>20</v>
      </c>
      <c r="R42" s="17" t="str">
        <f t="shared" si="18"/>
        <v/>
      </c>
      <c r="S42" s="17"/>
      <c r="T42" s="17"/>
      <c r="U42" s="17">
        <v>33</v>
      </c>
      <c r="V42" s="17">
        <f>'Bereich B '!$L$37</f>
        <v>5</v>
      </c>
      <c r="W42" s="17">
        <f t="shared" si="5"/>
        <v>5</v>
      </c>
      <c r="X42" s="17">
        <f t="shared" si="6"/>
        <v>28</v>
      </c>
      <c r="Y42" s="17">
        <f t="shared" si="7"/>
        <v>1.75</v>
      </c>
      <c r="Z42" s="17">
        <f t="shared" si="8"/>
        <v>10</v>
      </c>
      <c r="AA42" s="17" t="str">
        <f t="shared" si="9"/>
        <v/>
      </c>
      <c r="AB42" s="17">
        <v>33</v>
      </c>
      <c r="AC42" s="17">
        <f t="shared" si="10"/>
        <v>28</v>
      </c>
      <c r="AD42" s="17">
        <f t="shared" si="11"/>
        <v>1.75</v>
      </c>
      <c r="AE42" s="17">
        <f t="shared" si="12"/>
        <v>100</v>
      </c>
      <c r="AF42" s="17" t="str">
        <f t="shared" si="13"/>
        <v/>
      </c>
      <c r="AG42" s="17">
        <v>33</v>
      </c>
      <c r="AH42" s="17">
        <f t="shared" si="14"/>
        <v>28</v>
      </c>
      <c r="AI42" s="17">
        <f t="shared" si="15"/>
        <v>1.75</v>
      </c>
      <c r="AJ42" s="17">
        <f t="shared" si="16"/>
        <v>0</v>
      </c>
      <c r="AK42" s="17" t="str">
        <f t="shared" si="17"/>
        <v/>
      </c>
    </row>
    <row r="43" spans="1:37" x14ac:dyDescent="0.25">
      <c r="A43" s="205"/>
      <c r="B43" s="205"/>
      <c r="C43" s="205"/>
      <c r="D43" s="205"/>
      <c r="E43" s="205"/>
      <c r="F43" s="205"/>
      <c r="G43" s="205"/>
      <c r="H43" s="205"/>
      <c r="I43" s="205"/>
      <c r="J43" s="205"/>
      <c r="L43" s="35">
        <v>34</v>
      </c>
      <c r="M43" s="17">
        <f>IF('Bereich C '!$L$38="","nein",'Bereich C '!$L$38)</f>
        <v>5</v>
      </c>
      <c r="N43" s="17">
        <f t="shared" si="1"/>
        <v>5</v>
      </c>
      <c r="O43" s="17">
        <f t="shared" si="2"/>
        <v>29</v>
      </c>
      <c r="P43" s="17">
        <f t="shared" si="3"/>
        <v>5.4375</v>
      </c>
      <c r="Q43" s="17">
        <f t="shared" si="4"/>
        <v>20</v>
      </c>
      <c r="R43" s="17" t="str">
        <f t="shared" si="18"/>
        <v/>
      </c>
      <c r="S43" s="17"/>
      <c r="T43" s="17"/>
      <c r="U43" s="17">
        <v>34</v>
      </c>
      <c r="V43" s="17">
        <f>'Bereich B '!$L$37</f>
        <v>5</v>
      </c>
      <c r="W43" s="17">
        <f t="shared" si="5"/>
        <v>5</v>
      </c>
      <c r="X43" s="17">
        <f t="shared" si="6"/>
        <v>29</v>
      </c>
      <c r="Y43" s="17">
        <f t="shared" si="7"/>
        <v>1.8125</v>
      </c>
      <c r="Z43" s="17">
        <f t="shared" si="8"/>
        <v>10</v>
      </c>
      <c r="AA43" s="17" t="str">
        <f t="shared" si="9"/>
        <v/>
      </c>
      <c r="AB43" s="17">
        <v>34</v>
      </c>
      <c r="AC43" s="17">
        <f t="shared" si="10"/>
        <v>29</v>
      </c>
      <c r="AD43" s="17">
        <f t="shared" si="11"/>
        <v>1.8125</v>
      </c>
      <c r="AE43" s="17">
        <f t="shared" si="12"/>
        <v>100</v>
      </c>
      <c r="AF43" s="17" t="str">
        <f t="shared" si="13"/>
        <v/>
      </c>
      <c r="AG43" s="17">
        <v>34</v>
      </c>
      <c r="AH43" s="17">
        <f t="shared" si="14"/>
        <v>29</v>
      </c>
      <c r="AI43" s="17">
        <f t="shared" si="15"/>
        <v>1.8125</v>
      </c>
      <c r="AJ43" s="17">
        <f t="shared" si="16"/>
        <v>0</v>
      </c>
      <c r="AK43" s="17" t="str">
        <f t="shared" si="17"/>
        <v/>
      </c>
    </row>
    <row r="44" spans="1:37" x14ac:dyDescent="0.25">
      <c r="A44" s="205"/>
      <c r="B44" s="205"/>
      <c r="C44" s="205"/>
      <c r="D44" s="205"/>
      <c r="E44" s="205"/>
      <c r="F44" s="205"/>
      <c r="G44" s="205"/>
      <c r="H44" s="205"/>
      <c r="I44" s="205"/>
      <c r="J44" s="205"/>
      <c r="L44" s="35">
        <v>35</v>
      </c>
      <c r="M44" s="17">
        <f>IF('Bereich C '!$L$38="","nein",'Bereich C '!$L$38)</f>
        <v>5</v>
      </c>
      <c r="N44" s="17">
        <f t="shared" si="1"/>
        <v>5</v>
      </c>
      <c r="O44" s="17">
        <f t="shared" si="2"/>
        <v>30</v>
      </c>
      <c r="P44" s="17">
        <f t="shared" si="3"/>
        <v>5.625</v>
      </c>
      <c r="Q44" s="17">
        <f t="shared" si="4"/>
        <v>20</v>
      </c>
      <c r="R44" s="17" t="str">
        <f t="shared" si="18"/>
        <v/>
      </c>
      <c r="S44" s="17"/>
      <c r="T44" s="17"/>
      <c r="U44" s="17">
        <v>35</v>
      </c>
      <c r="V44" s="17">
        <f>'Bereich B '!$L$37</f>
        <v>5</v>
      </c>
      <c r="W44" s="17">
        <f t="shared" si="5"/>
        <v>5</v>
      </c>
      <c r="X44" s="17">
        <f t="shared" si="6"/>
        <v>30</v>
      </c>
      <c r="Y44" s="17">
        <f t="shared" si="7"/>
        <v>1.875</v>
      </c>
      <c r="Z44" s="17">
        <f t="shared" si="8"/>
        <v>10</v>
      </c>
      <c r="AA44" s="17" t="str">
        <f t="shared" si="9"/>
        <v/>
      </c>
      <c r="AB44" s="17">
        <v>35</v>
      </c>
      <c r="AC44" s="17">
        <f t="shared" si="10"/>
        <v>30</v>
      </c>
      <c r="AD44" s="17">
        <f t="shared" si="11"/>
        <v>1.875</v>
      </c>
      <c r="AE44" s="17">
        <f t="shared" si="12"/>
        <v>100</v>
      </c>
      <c r="AF44" s="17" t="str">
        <f t="shared" si="13"/>
        <v/>
      </c>
      <c r="AG44" s="17">
        <v>35</v>
      </c>
      <c r="AH44" s="17">
        <f t="shared" si="14"/>
        <v>30</v>
      </c>
      <c r="AI44" s="17">
        <f t="shared" si="15"/>
        <v>1.875</v>
      </c>
      <c r="AJ44" s="17">
        <f t="shared" si="16"/>
        <v>0</v>
      </c>
      <c r="AK44" s="17" t="str">
        <f t="shared" si="17"/>
        <v/>
      </c>
    </row>
    <row r="45" spans="1:37" x14ac:dyDescent="0.25">
      <c r="A45" s="205"/>
      <c r="B45" s="205"/>
      <c r="C45" s="205"/>
      <c r="D45" s="205"/>
      <c r="E45" s="205"/>
      <c r="F45" s="205"/>
      <c r="G45" s="205"/>
      <c r="H45" s="205"/>
      <c r="I45" s="205"/>
      <c r="J45" s="205"/>
      <c r="L45" s="35">
        <v>36</v>
      </c>
      <c r="M45" s="17">
        <f>IF('Bereich C '!$L$38="","nein",'Bereich C '!$L$38)</f>
        <v>5</v>
      </c>
      <c r="N45" s="17">
        <f t="shared" si="1"/>
        <v>5</v>
      </c>
      <c r="O45" s="17">
        <f t="shared" si="2"/>
        <v>31</v>
      </c>
      <c r="P45" s="17">
        <f t="shared" si="3"/>
        <v>5.8125</v>
      </c>
      <c r="Q45" s="17">
        <f t="shared" si="4"/>
        <v>20</v>
      </c>
      <c r="R45" s="17" t="str">
        <f t="shared" si="18"/>
        <v/>
      </c>
      <c r="S45" s="17"/>
      <c r="T45" s="17"/>
      <c r="U45" s="17">
        <v>36</v>
      </c>
      <c r="V45" s="17">
        <f>'Bereich B '!$L$37</f>
        <v>5</v>
      </c>
      <c r="W45" s="17">
        <f t="shared" si="5"/>
        <v>5</v>
      </c>
      <c r="X45" s="17">
        <f t="shared" si="6"/>
        <v>31</v>
      </c>
      <c r="Y45" s="17">
        <f t="shared" si="7"/>
        <v>1.9375</v>
      </c>
      <c r="Z45" s="17">
        <f t="shared" si="8"/>
        <v>10</v>
      </c>
      <c r="AA45" s="17" t="str">
        <f t="shared" si="9"/>
        <v/>
      </c>
      <c r="AB45" s="17">
        <v>36</v>
      </c>
      <c r="AC45" s="17">
        <f t="shared" si="10"/>
        <v>31</v>
      </c>
      <c r="AD45" s="17">
        <f t="shared" si="11"/>
        <v>1.9375</v>
      </c>
      <c r="AE45" s="17">
        <f t="shared" si="12"/>
        <v>100</v>
      </c>
      <c r="AF45" s="17" t="str">
        <f t="shared" si="13"/>
        <v/>
      </c>
      <c r="AG45" s="17">
        <v>36</v>
      </c>
      <c r="AH45" s="17">
        <f t="shared" si="14"/>
        <v>31</v>
      </c>
      <c r="AI45" s="17">
        <f t="shared" si="15"/>
        <v>1.9375</v>
      </c>
      <c r="AJ45" s="17">
        <f t="shared" si="16"/>
        <v>0</v>
      </c>
      <c r="AK45" s="17" t="str">
        <f t="shared" si="17"/>
        <v/>
      </c>
    </row>
    <row r="46" spans="1:37" x14ac:dyDescent="0.25">
      <c r="L46" s="35">
        <v>37</v>
      </c>
      <c r="M46" s="17">
        <f>IF('Bereich C '!$L$38="","nein",'Bereich C '!$L$38)</f>
        <v>5</v>
      </c>
      <c r="N46" s="17">
        <f t="shared" si="1"/>
        <v>5</v>
      </c>
      <c r="O46" s="17">
        <f t="shared" si="2"/>
        <v>32</v>
      </c>
      <c r="P46" s="17">
        <f t="shared" si="3"/>
        <v>6</v>
      </c>
      <c r="Q46" s="17">
        <f t="shared" si="4"/>
        <v>20</v>
      </c>
      <c r="R46" s="17" t="str">
        <f t="shared" si="18"/>
        <v/>
      </c>
      <c r="S46" s="17"/>
      <c r="T46" s="17"/>
      <c r="U46" s="17">
        <v>37</v>
      </c>
      <c r="V46" s="17">
        <f>'Bereich B '!$L$37</f>
        <v>5</v>
      </c>
      <c r="W46" s="17">
        <f t="shared" si="5"/>
        <v>5</v>
      </c>
      <c r="X46" s="17">
        <f t="shared" si="6"/>
        <v>32</v>
      </c>
      <c r="Y46" s="17">
        <f t="shared" si="7"/>
        <v>2</v>
      </c>
      <c r="Z46" s="17">
        <f t="shared" si="8"/>
        <v>10</v>
      </c>
      <c r="AA46" s="17" t="str">
        <f t="shared" si="9"/>
        <v/>
      </c>
      <c r="AB46" s="17">
        <v>37</v>
      </c>
      <c r="AC46" s="17">
        <f t="shared" si="10"/>
        <v>32</v>
      </c>
      <c r="AD46" s="17">
        <f t="shared" si="11"/>
        <v>2</v>
      </c>
      <c r="AE46" s="17">
        <f t="shared" si="12"/>
        <v>100</v>
      </c>
      <c r="AF46" s="17" t="str">
        <f t="shared" si="13"/>
        <v/>
      </c>
      <c r="AG46" s="17">
        <v>37</v>
      </c>
      <c r="AH46" s="17">
        <f t="shared" si="14"/>
        <v>32</v>
      </c>
      <c r="AI46" s="17">
        <f t="shared" si="15"/>
        <v>2</v>
      </c>
      <c r="AJ46" s="17">
        <f t="shared" si="16"/>
        <v>0</v>
      </c>
      <c r="AK46" s="17" t="str">
        <f t="shared" si="17"/>
        <v/>
      </c>
    </row>
    <row r="47" spans="1:37" x14ac:dyDescent="0.25">
      <c r="L47" s="35">
        <v>38</v>
      </c>
      <c r="M47" s="17">
        <f>IF('Bereich C '!$L$38="","nein",'Bereich C '!$L$38)</f>
        <v>5</v>
      </c>
      <c r="N47" s="17">
        <f t="shared" si="1"/>
        <v>5</v>
      </c>
      <c r="O47" s="17">
        <f t="shared" si="2"/>
        <v>33</v>
      </c>
      <c r="P47" s="17">
        <f t="shared" si="3"/>
        <v>6.1875</v>
      </c>
      <c r="Q47" s="17">
        <f t="shared" si="4"/>
        <v>20</v>
      </c>
      <c r="R47" s="17" t="str">
        <f t="shared" si="18"/>
        <v/>
      </c>
      <c r="S47" s="17"/>
      <c r="T47" s="17"/>
      <c r="U47" s="17">
        <v>38</v>
      </c>
      <c r="V47" s="17">
        <f>'Bereich B '!$L$37</f>
        <v>5</v>
      </c>
      <c r="W47" s="17">
        <f t="shared" si="5"/>
        <v>5</v>
      </c>
      <c r="X47" s="17">
        <f t="shared" si="6"/>
        <v>33</v>
      </c>
      <c r="Y47" s="17">
        <f t="shared" si="7"/>
        <v>2.0625</v>
      </c>
      <c r="Z47" s="17">
        <f t="shared" si="8"/>
        <v>10</v>
      </c>
      <c r="AA47" s="17" t="str">
        <f t="shared" si="9"/>
        <v/>
      </c>
      <c r="AB47" s="17">
        <v>38</v>
      </c>
      <c r="AC47" s="17">
        <f t="shared" si="10"/>
        <v>33</v>
      </c>
      <c r="AD47" s="17">
        <f t="shared" si="11"/>
        <v>2.0625</v>
      </c>
      <c r="AE47" s="17">
        <f t="shared" si="12"/>
        <v>100</v>
      </c>
      <c r="AF47" s="17" t="str">
        <f t="shared" si="13"/>
        <v/>
      </c>
      <c r="AG47" s="17">
        <v>38</v>
      </c>
      <c r="AH47" s="17">
        <f t="shared" si="14"/>
        <v>33</v>
      </c>
      <c r="AI47" s="17">
        <f t="shared" si="15"/>
        <v>2.0625</v>
      </c>
      <c r="AJ47" s="17">
        <f t="shared" si="16"/>
        <v>0</v>
      </c>
      <c r="AK47" s="17" t="str">
        <f t="shared" si="17"/>
        <v/>
      </c>
    </row>
    <row r="48" spans="1:37" x14ac:dyDescent="0.25">
      <c r="L48" s="35">
        <v>39</v>
      </c>
      <c r="M48" s="17">
        <f>IF('Bereich C '!$L$38="","nein",'Bereich C '!$L$38)</f>
        <v>5</v>
      </c>
      <c r="N48" s="17">
        <f t="shared" si="1"/>
        <v>5</v>
      </c>
      <c r="O48" s="17">
        <f t="shared" si="2"/>
        <v>34</v>
      </c>
      <c r="P48" s="17">
        <f t="shared" si="3"/>
        <v>6.375</v>
      </c>
      <c r="Q48" s="17">
        <f t="shared" si="4"/>
        <v>20</v>
      </c>
      <c r="R48" s="17" t="str">
        <f t="shared" si="18"/>
        <v/>
      </c>
      <c r="S48" s="17"/>
      <c r="T48" s="17"/>
      <c r="U48" s="17">
        <v>39</v>
      </c>
      <c r="V48" s="17">
        <f>'Bereich B '!$L$37</f>
        <v>5</v>
      </c>
      <c r="W48" s="17">
        <f t="shared" si="5"/>
        <v>5</v>
      </c>
      <c r="X48" s="17">
        <f t="shared" si="6"/>
        <v>34</v>
      </c>
      <c r="Y48" s="17">
        <f t="shared" si="7"/>
        <v>2.125</v>
      </c>
      <c r="Z48" s="17">
        <f t="shared" si="8"/>
        <v>10</v>
      </c>
      <c r="AA48" s="17" t="str">
        <f t="shared" si="9"/>
        <v/>
      </c>
      <c r="AB48" s="17">
        <v>39</v>
      </c>
      <c r="AC48" s="17">
        <f t="shared" si="10"/>
        <v>34</v>
      </c>
      <c r="AD48" s="17">
        <f t="shared" si="11"/>
        <v>2.125</v>
      </c>
      <c r="AE48" s="17">
        <f t="shared" si="12"/>
        <v>100</v>
      </c>
      <c r="AF48" s="17" t="str">
        <f t="shared" si="13"/>
        <v/>
      </c>
      <c r="AG48" s="17">
        <v>39</v>
      </c>
      <c r="AH48" s="17">
        <f t="shared" si="14"/>
        <v>34</v>
      </c>
      <c r="AI48" s="17">
        <f t="shared" si="15"/>
        <v>2.125</v>
      </c>
      <c r="AJ48" s="17">
        <f t="shared" si="16"/>
        <v>0</v>
      </c>
      <c r="AK48" s="17" t="str">
        <f t="shared" si="17"/>
        <v/>
      </c>
    </row>
    <row r="49" spans="12:37" x14ac:dyDescent="0.25">
      <c r="L49" s="35">
        <v>40</v>
      </c>
      <c r="M49" s="17">
        <f>IF('Bereich C '!$L$38="","nein",'Bereich C '!$L$38)</f>
        <v>5</v>
      </c>
      <c r="N49" s="17">
        <f t="shared" si="1"/>
        <v>5</v>
      </c>
      <c r="O49" s="17">
        <f t="shared" si="2"/>
        <v>35</v>
      </c>
      <c r="P49" s="17">
        <f t="shared" si="3"/>
        <v>6.5625</v>
      </c>
      <c r="Q49" s="17">
        <f t="shared" si="4"/>
        <v>20</v>
      </c>
      <c r="R49" s="17" t="str">
        <f t="shared" si="18"/>
        <v/>
      </c>
      <c r="S49" s="17"/>
      <c r="T49" s="17"/>
      <c r="U49" s="17">
        <v>40</v>
      </c>
      <c r="V49" s="17">
        <f>'Bereich B '!$L$37</f>
        <v>5</v>
      </c>
      <c r="W49" s="17">
        <f t="shared" si="5"/>
        <v>5</v>
      </c>
      <c r="X49" s="17">
        <f t="shared" si="6"/>
        <v>35</v>
      </c>
      <c r="Y49" s="17">
        <f t="shared" si="7"/>
        <v>2.1875</v>
      </c>
      <c r="Z49" s="17">
        <f t="shared" si="8"/>
        <v>10</v>
      </c>
      <c r="AA49" s="17" t="str">
        <f t="shared" si="9"/>
        <v/>
      </c>
      <c r="AB49" s="17">
        <v>40</v>
      </c>
      <c r="AC49" s="17">
        <f t="shared" si="10"/>
        <v>35</v>
      </c>
      <c r="AD49" s="17">
        <f t="shared" si="11"/>
        <v>2.1875</v>
      </c>
      <c r="AE49" s="17">
        <f t="shared" si="12"/>
        <v>100</v>
      </c>
      <c r="AF49" s="17" t="str">
        <f t="shared" si="13"/>
        <v/>
      </c>
      <c r="AG49" s="17">
        <v>40</v>
      </c>
      <c r="AH49" s="17">
        <f t="shared" si="14"/>
        <v>35</v>
      </c>
      <c r="AI49" s="17">
        <f t="shared" si="15"/>
        <v>2.1875</v>
      </c>
      <c r="AJ49" s="17">
        <f t="shared" si="16"/>
        <v>0</v>
      </c>
      <c r="AK49" s="17" t="str">
        <f t="shared" si="17"/>
        <v/>
      </c>
    </row>
    <row r="50" spans="12:37" x14ac:dyDescent="0.25">
      <c r="L50" s="35">
        <v>41</v>
      </c>
      <c r="M50" s="17">
        <f>IF('Bereich C '!$L$38="","nein",'Bereich C '!$L$38)</f>
        <v>5</v>
      </c>
      <c r="N50" s="17">
        <f t="shared" si="1"/>
        <v>5</v>
      </c>
      <c r="O50" s="17">
        <f t="shared" si="2"/>
        <v>36</v>
      </c>
      <c r="P50" s="17">
        <f t="shared" si="3"/>
        <v>6.75</v>
      </c>
      <c r="Q50" s="17">
        <f t="shared" si="4"/>
        <v>20</v>
      </c>
      <c r="R50" s="17" t="str">
        <f t="shared" si="18"/>
        <v/>
      </c>
      <c r="S50" s="17"/>
      <c r="T50" s="17"/>
      <c r="U50" s="17">
        <v>41</v>
      </c>
      <c r="V50" s="17">
        <f>'Bereich B '!$L$37</f>
        <v>5</v>
      </c>
      <c r="W50" s="17">
        <f t="shared" si="5"/>
        <v>5</v>
      </c>
      <c r="X50" s="17">
        <f t="shared" si="6"/>
        <v>36</v>
      </c>
      <c r="Y50" s="17">
        <f t="shared" si="7"/>
        <v>2.25</v>
      </c>
      <c r="Z50" s="17">
        <f t="shared" si="8"/>
        <v>10</v>
      </c>
      <c r="AA50" s="17" t="str">
        <f t="shared" si="9"/>
        <v/>
      </c>
      <c r="AB50" s="17">
        <v>41</v>
      </c>
      <c r="AC50" s="17">
        <f t="shared" si="10"/>
        <v>36</v>
      </c>
      <c r="AD50" s="17">
        <f t="shared" si="11"/>
        <v>2.25</v>
      </c>
      <c r="AE50" s="17">
        <f t="shared" si="12"/>
        <v>100</v>
      </c>
      <c r="AF50" s="17" t="str">
        <f t="shared" si="13"/>
        <v/>
      </c>
      <c r="AG50" s="17">
        <v>41</v>
      </c>
      <c r="AH50" s="17">
        <f t="shared" si="14"/>
        <v>36</v>
      </c>
      <c r="AI50" s="17">
        <f t="shared" si="15"/>
        <v>2.25</v>
      </c>
      <c r="AJ50" s="17">
        <f t="shared" si="16"/>
        <v>0</v>
      </c>
      <c r="AK50" s="17" t="str">
        <f t="shared" si="17"/>
        <v/>
      </c>
    </row>
    <row r="51" spans="12:37" x14ac:dyDescent="0.25">
      <c r="L51" s="35">
        <v>42</v>
      </c>
      <c r="M51" s="17">
        <f>IF('Bereich C '!$L$38="","nein",'Bereich C '!$L$38)</f>
        <v>5</v>
      </c>
      <c r="N51" s="17">
        <f t="shared" si="1"/>
        <v>5</v>
      </c>
      <c r="O51" s="17">
        <f t="shared" si="2"/>
        <v>37</v>
      </c>
      <c r="P51" s="17">
        <f t="shared" si="3"/>
        <v>6.9375</v>
      </c>
      <c r="Q51" s="17">
        <f t="shared" si="4"/>
        <v>20</v>
      </c>
      <c r="R51" s="17" t="str">
        <f t="shared" si="18"/>
        <v/>
      </c>
      <c r="S51" s="17"/>
      <c r="T51" s="17"/>
      <c r="U51" s="17">
        <v>42</v>
      </c>
      <c r="V51" s="17">
        <f>'Bereich B '!$L$37</f>
        <v>5</v>
      </c>
      <c r="W51" s="17">
        <f t="shared" si="5"/>
        <v>5</v>
      </c>
      <c r="X51" s="17">
        <f t="shared" si="6"/>
        <v>37</v>
      </c>
      <c r="Y51" s="17">
        <f t="shared" si="7"/>
        <v>2.3125</v>
      </c>
      <c r="Z51" s="17">
        <f t="shared" si="8"/>
        <v>10</v>
      </c>
      <c r="AA51" s="17" t="str">
        <f t="shared" si="9"/>
        <v/>
      </c>
      <c r="AB51" s="17">
        <v>42</v>
      </c>
      <c r="AC51" s="17">
        <f t="shared" si="10"/>
        <v>37</v>
      </c>
      <c r="AD51" s="17">
        <f t="shared" si="11"/>
        <v>2.3125</v>
      </c>
      <c r="AE51" s="17">
        <f t="shared" si="12"/>
        <v>100</v>
      </c>
      <c r="AF51" s="17" t="str">
        <f t="shared" si="13"/>
        <v/>
      </c>
      <c r="AG51" s="17">
        <v>42</v>
      </c>
      <c r="AH51" s="17">
        <f t="shared" si="14"/>
        <v>37</v>
      </c>
      <c r="AI51" s="17">
        <f t="shared" si="15"/>
        <v>2.3125</v>
      </c>
      <c r="AJ51" s="17">
        <f t="shared" si="16"/>
        <v>0</v>
      </c>
      <c r="AK51" s="17" t="str">
        <f t="shared" si="17"/>
        <v/>
      </c>
    </row>
    <row r="52" spans="12:37" x14ac:dyDescent="0.25">
      <c r="L52" s="35">
        <v>43</v>
      </c>
      <c r="M52" s="17">
        <f>IF('Bereich C '!$L$38="","nein",'Bereich C '!$L$38)</f>
        <v>5</v>
      </c>
      <c r="N52" s="17">
        <f t="shared" si="1"/>
        <v>5</v>
      </c>
      <c r="O52" s="17">
        <f t="shared" si="2"/>
        <v>38</v>
      </c>
      <c r="P52" s="17">
        <f t="shared" si="3"/>
        <v>7.125</v>
      </c>
      <c r="Q52" s="17">
        <f t="shared" si="4"/>
        <v>20</v>
      </c>
      <c r="R52" s="17" t="str">
        <f t="shared" si="18"/>
        <v/>
      </c>
      <c r="S52" s="17"/>
      <c r="T52" s="17"/>
      <c r="U52" s="17">
        <v>43</v>
      </c>
      <c r="V52" s="17">
        <f>'Bereich B '!$L$37</f>
        <v>5</v>
      </c>
      <c r="W52" s="17">
        <f t="shared" si="5"/>
        <v>5</v>
      </c>
      <c r="X52" s="17">
        <f t="shared" si="6"/>
        <v>38</v>
      </c>
      <c r="Y52" s="17">
        <f t="shared" si="7"/>
        <v>2.375</v>
      </c>
      <c r="Z52" s="17">
        <f t="shared" si="8"/>
        <v>10</v>
      </c>
      <c r="AA52" s="17" t="str">
        <f t="shared" si="9"/>
        <v/>
      </c>
      <c r="AB52" s="17">
        <v>43</v>
      </c>
      <c r="AC52" s="17">
        <f t="shared" si="10"/>
        <v>38</v>
      </c>
      <c r="AD52" s="17">
        <f t="shared" si="11"/>
        <v>2.375</v>
      </c>
      <c r="AE52" s="17">
        <f t="shared" si="12"/>
        <v>100</v>
      </c>
      <c r="AF52" s="17" t="str">
        <f t="shared" si="13"/>
        <v/>
      </c>
      <c r="AG52" s="17">
        <v>43</v>
      </c>
      <c r="AH52" s="17">
        <f t="shared" si="14"/>
        <v>38</v>
      </c>
      <c r="AI52" s="17">
        <f t="shared" si="15"/>
        <v>2.375</v>
      </c>
      <c r="AJ52" s="17">
        <f t="shared" si="16"/>
        <v>0</v>
      </c>
      <c r="AK52" s="17" t="str">
        <f t="shared" si="17"/>
        <v/>
      </c>
    </row>
    <row r="53" spans="12:37" x14ac:dyDescent="0.25">
      <c r="L53" s="35">
        <v>44</v>
      </c>
      <c r="M53" s="17">
        <f>IF('Bereich C '!$L$38="","nein",'Bereich C '!$L$38)</f>
        <v>5</v>
      </c>
      <c r="N53" s="17">
        <f t="shared" si="1"/>
        <v>5</v>
      </c>
      <c r="O53" s="17">
        <f t="shared" si="2"/>
        <v>39</v>
      </c>
      <c r="P53" s="17">
        <f t="shared" si="3"/>
        <v>7.3125</v>
      </c>
      <c r="Q53" s="17">
        <f t="shared" si="4"/>
        <v>20</v>
      </c>
      <c r="R53" s="17" t="str">
        <f t="shared" si="18"/>
        <v/>
      </c>
      <c r="S53" s="17"/>
      <c r="T53" s="17"/>
      <c r="U53" s="17">
        <v>44</v>
      </c>
      <c r="V53" s="17">
        <f>'Bereich B '!$L$37</f>
        <v>5</v>
      </c>
      <c r="W53" s="17">
        <f t="shared" si="5"/>
        <v>5</v>
      </c>
      <c r="X53" s="17">
        <f t="shared" si="6"/>
        <v>39</v>
      </c>
      <c r="Y53" s="17">
        <f t="shared" si="7"/>
        <v>2.4375</v>
      </c>
      <c r="Z53" s="17">
        <f t="shared" si="8"/>
        <v>10</v>
      </c>
      <c r="AA53" s="17" t="str">
        <f t="shared" si="9"/>
        <v/>
      </c>
      <c r="AB53" s="17">
        <v>44</v>
      </c>
      <c r="AC53" s="17">
        <f t="shared" si="10"/>
        <v>39</v>
      </c>
      <c r="AD53" s="17">
        <f t="shared" si="11"/>
        <v>2.4375</v>
      </c>
      <c r="AE53" s="17">
        <f t="shared" si="12"/>
        <v>100</v>
      </c>
      <c r="AF53" s="17" t="str">
        <f t="shared" si="13"/>
        <v/>
      </c>
      <c r="AG53" s="17">
        <v>44</v>
      </c>
      <c r="AH53" s="17">
        <f t="shared" si="14"/>
        <v>39</v>
      </c>
      <c r="AI53" s="17">
        <f t="shared" si="15"/>
        <v>2.4375</v>
      </c>
      <c r="AJ53" s="17">
        <f t="shared" si="16"/>
        <v>0</v>
      </c>
      <c r="AK53" s="17" t="str">
        <f t="shared" si="17"/>
        <v/>
      </c>
    </row>
    <row r="54" spans="12:37" x14ac:dyDescent="0.25">
      <c r="L54" s="35">
        <v>45</v>
      </c>
      <c r="M54" s="17">
        <f>IF('Bereich C '!$L$38="","nein",'Bereich C '!$L$38)</f>
        <v>5</v>
      </c>
      <c r="N54" s="17">
        <f t="shared" si="1"/>
        <v>5</v>
      </c>
      <c r="O54" s="17">
        <f t="shared" si="2"/>
        <v>40</v>
      </c>
      <c r="P54" s="17">
        <f t="shared" si="3"/>
        <v>7.5</v>
      </c>
      <c r="Q54" s="17">
        <f t="shared" si="4"/>
        <v>20</v>
      </c>
      <c r="R54" s="17" t="str">
        <f t="shared" si="18"/>
        <v/>
      </c>
      <c r="S54" s="17"/>
      <c r="T54" s="17"/>
      <c r="U54" s="17">
        <v>45</v>
      </c>
      <c r="V54" s="17">
        <f>'Bereich B '!$L$37</f>
        <v>5</v>
      </c>
      <c r="W54" s="17">
        <f t="shared" si="5"/>
        <v>5</v>
      </c>
      <c r="X54" s="17">
        <f t="shared" si="6"/>
        <v>40</v>
      </c>
      <c r="Y54" s="17">
        <f t="shared" si="7"/>
        <v>2.5</v>
      </c>
      <c r="Z54" s="17">
        <f t="shared" si="8"/>
        <v>10</v>
      </c>
      <c r="AA54" s="17" t="str">
        <f t="shared" si="9"/>
        <v/>
      </c>
      <c r="AB54" s="17">
        <v>45</v>
      </c>
      <c r="AC54" s="17">
        <f t="shared" si="10"/>
        <v>40</v>
      </c>
      <c r="AD54" s="17">
        <f t="shared" si="11"/>
        <v>2.5</v>
      </c>
      <c r="AE54" s="17">
        <f t="shared" si="12"/>
        <v>100</v>
      </c>
      <c r="AF54" s="17" t="str">
        <f t="shared" si="13"/>
        <v/>
      </c>
      <c r="AG54" s="17">
        <v>45</v>
      </c>
      <c r="AH54" s="17">
        <f t="shared" si="14"/>
        <v>40</v>
      </c>
      <c r="AI54" s="17">
        <f t="shared" si="15"/>
        <v>2.5</v>
      </c>
      <c r="AJ54" s="17">
        <f t="shared" si="16"/>
        <v>0</v>
      </c>
      <c r="AK54" s="17" t="str">
        <f t="shared" si="17"/>
        <v/>
      </c>
    </row>
    <row r="55" spans="12:37" x14ac:dyDescent="0.25">
      <c r="L55" s="35">
        <v>46</v>
      </c>
      <c r="M55" s="17">
        <f>IF('Bereich C '!$L$38="","nein",'Bereich C '!$L$38)</f>
        <v>5</v>
      </c>
      <c r="N55" s="17">
        <f t="shared" si="1"/>
        <v>5</v>
      </c>
      <c r="O55" s="17">
        <f t="shared" si="2"/>
        <v>41</v>
      </c>
      <c r="P55" s="17">
        <f t="shared" si="3"/>
        <v>7.6875</v>
      </c>
      <c r="Q55" s="17">
        <f t="shared" si="4"/>
        <v>20</v>
      </c>
      <c r="R55" s="17" t="str">
        <f t="shared" si="18"/>
        <v/>
      </c>
      <c r="S55" s="17"/>
      <c r="T55" s="17"/>
      <c r="U55" s="17">
        <v>46</v>
      </c>
      <c r="V55" s="17">
        <f>'Bereich B '!$L$37</f>
        <v>5</v>
      </c>
      <c r="W55" s="17">
        <f t="shared" si="5"/>
        <v>5</v>
      </c>
      <c r="X55" s="17">
        <f t="shared" si="6"/>
        <v>41</v>
      </c>
      <c r="Y55" s="17">
        <f t="shared" si="7"/>
        <v>2.5625</v>
      </c>
      <c r="Z55" s="17">
        <f t="shared" si="8"/>
        <v>10</v>
      </c>
      <c r="AA55" s="17" t="str">
        <f t="shared" si="9"/>
        <v/>
      </c>
      <c r="AB55" s="17">
        <v>46</v>
      </c>
      <c r="AC55" s="17">
        <f t="shared" si="10"/>
        <v>41</v>
      </c>
      <c r="AD55" s="17">
        <f t="shared" si="11"/>
        <v>2.5625</v>
      </c>
      <c r="AE55" s="17">
        <f t="shared" si="12"/>
        <v>100</v>
      </c>
      <c r="AF55" s="17" t="str">
        <f t="shared" si="13"/>
        <v/>
      </c>
      <c r="AG55" s="17">
        <v>46</v>
      </c>
      <c r="AH55" s="17">
        <f t="shared" si="14"/>
        <v>41</v>
      </c>
      <c r="AI55" s="17">
        <f t="shared" si="15"/>
        <v>2.5625</v>
      </c>
      <c r="AJ55" s="17">
        <f t="shared" si="16"/>
        <v>0</v>
      </c>
      <c r="AK55" s="17" t="str">
        <f t="shared" si="17"/>
        <v/>
      </c>
    </row>
    <row r="56" spans="12:37" x14ac:dyDescent="0.25">
      <c r="L56" s="35">
        <v>47</v>
      </c>
      <c r="M56" s="17">
        <f>IF('Bereich C '!$L$38="","nein",'Bereich C '!$L$38)</f>
        <v>5</v>
      </c>
      <c r="N56" s="17">
        <f t="shared" si="1"/>
        <v>5</v>
      </c>
      <c r="O56" s="17">
        <f t="shared" si="2"/>
        <v>42</v>
      </c>
      <c r="P56" s="17">
        <f t="shared" si="3"/>
        <v>7.875</v>
      </c>
      <c r="Q56" s="17">
        <f t="shared" si="4"/>
        <v>20</v>
      </c>
      <c r="R56" s="17" t="str">
        <f t="shared" si="18"/>
        <v/>
      </c>
      <c r="S56" s="17"/>
      <c r="T56" s="17"/>
      <c r="U56" s="17">
        <v>47</v>
      </c>
      <c r="V56" s="17">
        <f>'Bereich B '!$L$37</f>
        <v>5</v>
      </c>
      <c r="W56" s="17">
        <f t="shared" si="5"/>
        <v>5</v>
      </c>
      <c r="X56" s="17">
        <f t="shared" si="6"/>
        <v>42</v>
      </c>
      <c r="Y56" s="17">
        <f t="shared" si="7"/>
        <v>2.625</v>
      </c>
      <c r="Z56" s="17">
        <f t="shared" si="8"/>
        <v>10</v>
      </c>
      <c r="AA56" s="17" t="str">
        <f t="shared" si="9"/>
        <v/>
      </c>
      <c r="AB56" s="17">
        <v>47</v>
      </c>
      <c r="AC56" s="17">
        <f t="shared" si="10"/>
        <v>42</v>
      </c>
      <c r="AD56" s="17">
        <f t="shared" si="11"/>
        <v>2.625</v>
      </c>
      <c r="AE56" s="17">
        <f t="shared" si="12"/>
        <v>100</v>
      </c>
      <c r="AF56" s="17" t="str">
        <f t="shared" si="13"/>
        <v/>
      </c>
      <c r="AG56" s="17">
        <v>47</v>
      </c>
      <c r="AH56" s="17">
        <f t="shared" si="14"/>
        <v>42</v>
      </c>
      <c r="AI56" s="17">
        <f t="shared" si="15"/>
        <v>2.625</v>
      </c>
      <c r="AJ56" s="17">
        <f t="shared" si="16"/>
        <v>0</v>
      </c>
      <c r="AK56" s="17" t="str">
        <f t="shared" si="17"/>
        <v/>
      </c>
    </row>
    <row r="57" spans="12:37" x14ac:dyDescent="0.25">
      <c r="L57" s="35">
        <v>48</v>
      </c>
      <c r="M57" s="17">
        <f>IF('Bereich C '!$L$38="","nein",'Bereich C '!$L$38)</f>
        <v>5</v>
      </c>
      <c r="N57" s="17">
        <f t="shared" si="1"/>
        <v>5</v>
      </c>
      <c r="O57" s="17">
        <f t="shared" si="2"/>
        <v>43</v>
      </c>
      <c r="P57" s="17">
        <f t="shared" si="3"/>
        <v>8.0625</v>
      </c>
      <c r="Q57" s="17">
        <f t="shared" si="4"/>
        <v>20</v>
      </c>
      <c r="R57" s="17" t="str">
        <f t="shared" si="18"/>
        <v/>
      </c>
      <c r="S57" s="17"/>
      <c r="T57" s="17"/>
      <c r="U57" s="17">
        <v>48</v>
      </c>
      <c r="V57" s="17">
        <f>'Bereich B '!$L$37</f>
        <v>5</v>
      </c>
      <c r="W57" s="17">
        <f t="shared" si="5"/>
        <v>5</v>
      </c>
      <c r="X57" s="17">
        <f t="shared" si="6"/>
        <v>43</v>
      </c>
      <c r="Y57" s="17">
        <f t="shared" si="7"/>
        <v>2.6875</v>
      </c>
      <c r="Z57" s="17">
        <f t="shared" si="8"/>
        <v>10</v>
      </c>
      <c r="AA57" s="17" t="str">
        <f t="shared" si="9"/>
        <v/>
      </c>
      <c r="AB57" s="17">
        <v>48</v>
      </c>
      <c r="AC57" s="17">
        <f t="shared" si="10"/>
        <v>43</v>
      </c>
      <c r="AD57" s="17">
        <f t="shared" si="11"/>
        <v>2.6875</v>
      </c>
      <c r="AE57" s="17">
        <f t="shared" si="12"/>
        <v>100</v>
      </c>
      <c r="AF57" s="17" t="str">
        <f t="shared" si="13"/>
        <v/>
      </c>
      <c r="AG57" s="17">
        <v>48</v>
      </c>
      <c r="AH57" s="17">
        <f t="shared" si="14"/>
        <v>43</v>
      </c>
      <c r="AI57" s="17">
        <f t="shared" si="15"/>
        <v>2.6875</v>
      </c>
      <c r="AJ57" s="17">
        <f t="shared" si="16"/>
        <v>0</v>
      </c>
      <c r="AK57" s="17" t="str">
        <f t="shared" si="17"/>
        <v/>
      </c>
    </row>
    <row r="58" spans="12:37" x14ac:dyDescent="0.25">
      <c r="L58" s="35">
        <v>49</v>
      </c>
      <c r="M58" s="17">
        <f>IF('Bereich C '!$L$38="","nein",'Bereich C '!$L$38)</f>
        <v>5</v>
      </c>
      <c r="N58" s="17">
        <f t="shared" si="1"/>
        <v>5</v>
      </c>
      <c r="O58" s="17">
        <f t="shared" si="2"/>
        <v>44</v>
      </c>
      <c r="P58" s="17">
        <f t="shared" si="3"/>
        <v>8.25</v>
      </c>
      <c r="Q58" s="17">
        <f t="shared" si="4"/>
        <v>20</v>
      </c>
      <c r="R58" s="17" t="str">
        <f t="shared" si="18"/>
        <v/>
      </c>
      <c r="S58" s="17"/>
      <c r="T58" s="17"/>
      <c r="U58" s="17">
        <v>49</v>
      </c>
      <c r="V58" s="17">
        <f>'Bereich B '!$L$37</f>
        <v>5</v>
      </c>
      <c r="W58" s="17">
        <f t="shared" si="5"/>
        <v>5</v>
      </c>
      <c r="X58" s="17">
        <f t="shared" si="6"/>
        <v>44</v>
      </c>
      <c r="Y58" s="17">
        <f t="shared" si="7"/>
        <v>2.75</v>
      </c>
      <c r="Z58" s="17">
        <f t="shared" si="8"/>
        <v>10</v>
      </c>
      <c r="AA58" s="17" t="str">
        <f t="shared" si="9"/>
        <v/>
      </c>
      <c r="AB58" s="17">
        <v>49</v>
      </c>
      <c r="AC58" s="17">
        <f t="shared" si="10"/>
        <v>44</v>
      </c>
      <c r="AD58" s="17">
        <f t="shared" si="11"/>
        <v>2.75</v>
      </c>
      <c r="AE58" s="17">
        <f t="shared" si="12"/>
        <v>100</v>
      </c>
      <c r="AF58" s="17" t="str">
        <f t="shared" si="13"/>
        <v/>
      </c>
      <c r="AG58" s="17">
        <v>49</v>
      </c>
      <c r="AH58" s="17">
        <f t="shared" si="14"/>
        <v>44</v>
      </c>
      <c r="AI58" s="17">
        <f t="shared" si="15"/>
        <v>2.75</v>
      </c>
      <c r="AJ58" s="17">
        <f t="shared" si="16"/>
        <v>0</v>
      </c>
      <c r="AK58" s="17" t="str">
        <f t="shared" si="17"/>
        <v/>
      </c>
    </row>
    <row r="59" spans="12:37" x14ac:dyDescent="0.25">
      <c r="L59" s="35">
        <v>50</v>
      </c>
      <c r="M59" s="17">
        <f>IF('Bereich C '!$L$38="","nein",'Bereich C '!$L$38)</f>
        <v>5</v>
      </c>
      <c r="N59" s="17">
        <f t="shared" si="1"/>
        <v>5</v>
      </c>
      <c r="O59" s="17">
        <f t="shared" si="2"/>
        <v>45</v>
      </c>
      <c r="P59" s="17">
        <f t="shared" si="3"/>
        <v>8.4375</v>
      </c>
      <c r="Q59" s="17">
        <f t="shared" si="4"/>
        <v>20</v>
      </c>
      <c r="R59" s="17" t="str">
        <f t="shared" si="18"/>
        <v/>
      </c>
      <c r="S59" s="17"/>
      <c r="T59" s="17"/>
      <c r="U59" s="17">
        <v>50</v>
      </c>
      <c r="V59" s="17">
        <f>'Bereich B '!$L$37</f>
        <v>5</v>
      </c>
      <c r="W59" s="17">
        <f t="shared" si="5"/>
        <v>5</v>
      </c>
      <c r="X59" s="17">
        <f t="shared" si="6"/>
        <v>45</v>
      </c>
      <c r="Y59" s="17">
        <f t="shared" si="7"/>
        <v>2.8125</v>
      </c>
      <c r="Z59" s="17">
        <f t="shared" si="8"/>
        <v>10</v>
      </c>
      <c r="AA59" s="17" t="str">
        <f t="shared" si="9"/>
        <v/>
      </c>
      <c r="AB59" s="17">
        <v>50</v>
      </c>
      <c r="AC59" s="17">
        <f t="shared" si="10"/>
        <v>45</v>
      </c>
      <c r="AD59" s="17">
        <f t="shared" si="11"/>
        <v>2.8125</v>
      </c>
      <c r="AE59" s="17">
        <f t="shared" si="12"/>
        <v>100</v>
      </c>
      <c r="AF59" s="17" t="str">
        <f t="shared" si="13"/>
        <v/>
      </c>
      <c r="AG59" s="17">
        <v>50</v>
      </c>
      <c r="AH59" s="17">
        <f t="shared" si="14"/>
        <v>45</v>
      </c>
      <c r="AI59" s="17">
        <f t="shared" si="15"/>
        <v>2.8125</v>
      </c>
      <c r="AJ59" s="17">
        <f t="shared" si="16"/>
        <v>0</v>
      </c>
      <c r="AK59" s="17" t="str">
        <f t="shared" si="17"/>
        <v/>
      </c>
    </row>
    <row r="60" spans="12:37" x14ac:dyDescent="0.25">
      <c r="L60" s="35">
        <v>51</v>
      </c>
      <c r="M60" s="17">
        <f>IF('Bereich C '!$L$38="","nein",'Bereich C '!$L$38)</f>
        <v>5</v>
      </c>
      <c r="N60" s="17">
        <f t="shared" si="1"/>
        <v>5</v>
      </c>
      <c r="O60" s="17">
        <f t="shared" si="2"/>
        <v>46</v>
      </c>
      <c r="P60" s="17">
        <f t="shared" si="3"/>
        <v>8.625</v>
      </c>
      <c r="Q60" s="17">
        <f t="shared" si="4"/>
        <v>20</v>
      </c>
      <c r="R60" s="17" t="str">
        <f t="shared" si="18"/>
        <v/>
      </c>
      <c r="S60" s="17"/>
      <c r="T60" s="17"/>
      <c r="U60" s="17">
        <v>51</v>
      </c>
      <c r="V60" s="17">
        <f>'Bereich B '!$L$37</f>
        <v>5</v>
      </c>
      <c r="W60" s="17">
        <f t="shared" si="5"/>
        <v>5</v>
      </c>
      <c r="X60" s="17">
        <f t="shared" si="6"/>
        <v>46</v>
      </c>
      <c r="Y60" s="17">
        <f t="shared" si="7"/>
        <v>2.875</v>
      </c>
      <c r="Z60" s="17">
        <f t="shared" si="8"/>
        <v>10</v>
      </c>
      <c r="AA60" s="17" t="str">
        <f t="shared" si="9"/>
        <v/>
      </c>
      <c r="AB60" s="17">
        <v>51</v>
      </c>
      <c r="AC60" s="17">
        <f t="shared" si="10"/>
        <v>46</v>
      </c>
      <c r="AD60" s="17">
        <f t="shared" si="11"/>
        <v>2.875</v>
      </c>
      <c r="AE60" s="17">
        <f t="shared" si="12"/>
        <v>100</v>
      </c>
      <c r="AF60" s="17" t="str">
        <f t="shared" si="13"/>
        <v/>
      </c>
      <c r="AG60" s="17">
        <v>51</v>
      </c>
      <c r="AH60" s="17">
        <f t="shared" si="14"/>
        <v>46</v>
      </c>
      <c r="AI60" s="17">
        <f t="shared" si="15"/>
        <v>2.875</v>
      </c>
      <c r="AJ60" s="17">
        <f t="shared" si="16"/>
        <v>0</v>
      </c>
      <c r="AK60" s="17" t="str">
        <f t="shared" si="17"/>
        <v/>
      </c>
    </row>
    <row r="61" spans="12:37" x14ac:dyDescent="0.25">
      <c r="L61" s="35">
        <v>52</v>
      </c>
      <c r="M61" s="17">
        <f>IF('Bereich C '!$L$38="","nein",'Bereich C '!$L$38)</f>
        <v>5</v>
      </c>
      <c r="N61" s="17">
        <f t="shared" si="1"/>
        <v>5</v>
      </c>
      <c r="O61" s="17">
        <f t="shared" si="2"/>
        <v>47</v>
      </c>
      <c r="P61" s="17">
        <f t="shared" si="3"/>
        <v>8.8125</v>
      </c>
      <c r="Q61" s="17">
        <f t="shared" si="4"/>
        <v>20</v>
      </c>
      <c r="R61" s="17" t="str">
        <f t="shared" si="18"/>
        <v/>
      </c>
      <c r="S61" s="17"/>
      <c r="T61" s="17"/>
      <c r="U61" s="17">
        <v>52</v>
      </c>
      <c r="V61" s="17">
        <f>'Bereich B '!$L$37</f>
        <v>5</v>
      </c>
      <c r="W61" s="17">
        <f t="shared" si="5"/>
        <v>5</v>
      </c>
      <c r="X61" s="17">
        <f t="shared" si="6"/>
        <v>47</v>
      </c>
      <c r="Y61" s="17">
        <f t="shared" si="7"/>
        <v>2.9375</v>
      </c>
      <c r="Z61" s="17">
        <f t="shared" si="8"/>
        <v>10</v>
      </c>
      <c r="AA61" s="17" t="str">
        <f t="shared" si="9"/>
        <v/>
      </c>
      <c r="AB61" s="17">
        <v>52</v>
      </c>
      <c r="AC61" s="17">
        <f t="shared" si="10"/>
        <v>47</v>
      </c>
      <c r="AD61" s="17">
        <f t="shared" si="11"/>
        <v>2.9375</v>
      </c>
      <c r="AE61" s="17">
        <f t="shared" si="12"/>
        <v>100</v>
      </c>
      <c r="AF61" s="17" t="str">
        <f t="shared" si="13"/>
        <v/>
      </c>
      <c r="AG61" s="17">
        <v>52</v>
      </c>
      <c r="AH61" s="17">
        <f t="shared" si="14"/>
        <v>47</v>
      </c>
      <c r="AI61" s="17">
        <f t="shared" si="15"/>
        <v>2.9375</v>
      </c>
      <c r="AJ61" s="17">
        <f t="shared" si="16"/>
        <v>0</v>
      </c>
      <c r="AK61" s="17" t="str">
        <f t="shared" si="17"/>
        <v/>
      </c>
    </row>
    <row r="62" spans="12:37" x14ac:dyDescent="0.25">
      <c r="L62" s="35">
        <v>53</v>
      </c>
      <c r="M62" s="17">
        <f>IF('Bereich C '!$L$38="","nein",'Bereich C '!$L$38)</f>
        <v>5</v>
      </c>
      <c r="N62" s="17">
        <f t="shared" si="1"/>
        <v>5</v>
      </c>
      <c r="O62" s="17">
        <f t="shared" si="2"/>
        <v>48</v>
      </c>
      <c r="P62" s="17">
        <f t="shared" si="3"/>
        <v>9</v>
      </c>
      <c r="Q62" s="17">
        <f t="shared" si="4"/>
        <v>20</v>
      </c>
      <c r="R62" s="17" t="str">
        <f t="shared" si="18"/>
        <v/>
      </c>
      <c r="S62" s="17"/>
      <c r="T62" s="17"/>
      <c r="U62" s="17">
        <v>53</v>
      </c>
      <c r="V62" s="17">
        <f>'Bereich B '!$L$37</f>
        <v>5</v>
      </c>
      <c r="W62" s="17">
        <f t="shared" si="5"/>
        <v>5</v>
      </c>
      <c r="X62" s="17">
        <f t="shared" si="6"/>
        <v>48</v>
      </c>
      <c r="Y62" s="17">
        <f t="shared" si="7"/>
        <v>3</v>
      </c>
      <c r="Z62" s="17">
        <f t="shared" si="8"/>
        <v>10</v>
      </c>
      <c r="AA62" s="17" t="str">
        <f t="shared" si="9"/>
        <v/>
      </c>
      <c r="AB62" s="17">
        <v>53</v>
      </c>
      <c r="AC62" s="17">
        <f t="shared" si="10"/>
        <v>48</v>
      </c>
      <c r="AD62" s="17">
        <f t="shared" si="11"/>
        <v>3</v>
      </c>
      <c r="AE62" s="17">
        <f t="shared" si="12"/>
        <v>100</v>
      </c>
      <c r="AF62" s="17" t="str">
        <f t="shared" si="13"/>
        <v/>
      </c>
      <c r="AG62" s="17">
        <v>53</v>
      </c>
      <c r="AH62" s="17">
        <f t="shared" si="14"/>
        <v>48</v>
      </c>
      <c r="AI62" s="17">
        <f t="shared" si="15"/>
        <v>3</v>
      </c>
      <c r="AJ62" s="17">
        <f t="shared" si="16"/>
        <v>0</v>
      </c>
      <c r="AK62" s="17" t="str">
        <f t="shared" si="17"/>
        <v/>
      </c>
    </row>
    <row r="63" spans="12:37" x14ac:dyDescent="0.25">
      <c r="L63" s="35">
        <v>54</v>
      </c>
      <c r="M63" s="17">
        <f>IF('Bereich C '!$L$38="","nein",'Bereich C '!$L$38)</f>
        <v>5</v>
      </c>
      <c r="N63" s="17">
        <f t="shared" si="1"/>
        <v>5</v>
      </c>
      <c r="O63" s="17">
        <f t="shared" si="2"/>
        <v>49</v>
      </c>
      <c r="P63" s="17">
        <f t="shared" si="3"/>
        <v>9.1875</v>
      </c>
      <c r="Q63" s="17">
        <f t="shared" si="4"/>
        <v>20</v>
      </c>
      <c r="R63" s="17" t="str">
        <f t="shared" si="18"/>
        <v/>
      </c>
      <c r="S63" s="17"/>
      <c r="T63" s="17"/>
      <c r="U63" s="17">
        <v>54</v>
      </c>
      <c r="V63" s="17">
        <f>'Bereich B '!$L$37</f>
        <v>5</v>
      </c>
      <c r="W63" s="17">
        <f t="shared" si="5"/>
        <v>5</v>
      </c>
      <c r="X63" s="17">
        <f t="shared" si="6"/>
        <v>49</v>
      </c>
      <c r="Y63" s="17">
        <f t="shared" si="7"/>
        <v>3.0625</v>
      </c>
      <c r="Z63" s="17">
        <f t="shared" si="8"/>
        <v>10</v>
      </c>
      <c r="AA63" s="17" t="str">
        <f t="shared" si="9"/>
        <v/>
      </c>
      <c r="AB63" s="17">
        <v>54</v>
      </c>
      <c r="AC63" s="17">
        <f t="shared" si="10"/>
        <v>49</v>
      </c>
      <c r="AD63" s="17">
        <f t="shared" si="11"/>
        <v>3.0625</v>
      </c>
      <c r="AE63" s="17">
        <f t="shared" si="12"/>
        <v>100</v>
      </c>
      <c r="AF63" s="17" t="str">
        <f t="shared" si="13"/>
        <v/>
      </c>
      <c r="AG63" s="17">
        <v>54</v>
      </c>
      <c r="AH63" s="17">
        <f t="shared" si="14"/>
        <v>49</v>
      </c>
      <c r="AI63" s="17">
        <f t="shared" si="15"/>
        <v>3.0625</v>
      </c>
      <c r="AJ63" s="17">
        <f t="shared" si="16"/>
        <v>0</v>
      </c>
      <c r="AK63" s="17" t="str">
        <f t="shared" si="17"/>
        <v/>
      </c>
    </row>
    <row r="64" spans="12:37" x14ac:dyDescent="0.25">
      <c r="L64" s="35">
        <v>55</v>
      </c>
      <c r="M64" s="17">
        <f>IF('Bereich C '!$L$38="","nein",'Bereich C '!$L$38)</f>
        <v>5</v>
      </c>
      <c r="N64" s="17">
        <f t="shared" si="1"/>
        <v>5</v>
      </c>
      <c r="O64" s="17">
        <f t="shared" si="2"/>
        <v>50</v>
      </c>
      <c r="P64" s="17">
        <f t="shared" si="3"/>
        <v>9.375</v>
      </c>
      <c r="Q64" s="17">
        <f t="shared" si="4"/>
        <v>20</v>
      </c>
      <c r="R64" s="17" t="str">
        <f t="shared" si="18"/>
        <v/>
      </c>
      <c r="S64" s="17"/>
      <c r="T64" s="17"/>
      <c r="U64" s="17">
        <v>55</v>
      </c>
      <c r="V64" s="17">
        <f>'Bereich B '!$L$37</f>
        <v>5</v>
      </c>
      <c r="W64" s="17">
        <f t="shared" si="5"/>
        <v>5</v>
      </c>
      <c r="X64" s="17">
        <f t="shared" si="6"/>
        <v>50</v>
      </c>
      <c r="Y64" s="17">
        <f t="shared" si="7"/>
        <v>3.125</v>
      </c>
      <c r="Z64" s="17">
        <f t="shared" si="8"/>
        <v>10</v>
      </c>
      <c r="AA64" s="17" t="str">
        <f t="shared" si="9"/>
        <v/>
      </c>
      <c r="AB64" s="17">
        <v>55</v>
      </c>
      <c r="AC64" s="17">
        <f t="shared" si="10"/>
        <v>50</v>
      </c>
      <c r="AD64" s="17">
        <f t="shared" si="11"/>
        <v>3.125</v>
      </c>
      <c r="AE64" s="17">
        <f t="shared" si="12"/>
        <v>100</v>
      </c>
      <c r="AF64" s="17" t="str">
        <f t="shared" si="13"/>
        <v/>
      </c>
      <c r="AG64" s="17">
        <v>55</v>
      </c>
      <c r="AH64" s="17">
        <f t="shared" si="14"/>
        <v>50</v>
      </c>
      <c r="AI64" s="17">
        <f t="shared" si="15"/>
        <v>3.125</v>
      </c>
      <c r="AJ64" s="17">
        <f t="shared" si="16"/>
        <v>0</v>
      </c>
      <c r="AK64" s="17" t="str">
        <f t="shared" si="17"/>
        <v/>
      </c>
    </row>
    <row r="65" spans="12:37" x14ac:dyDescent="0.25">
      <c r="L65" s="35">
        <v>56</v>
      </c>
      <c r="M65" s="17">
        <f>IF('Bereich C '!$L$38="","nein",'Bereich C '!$L$38)</f>
        <v>5</v>
      </c>
      <c r="N65" s="17">
        <f t="shared" si="1"/>
        <v>5</v>
      </c>
      <c r="O65" s="17">
        <f t="shared" si="2"/>
        <v>51</v>
      </c>
      <c r="P65" s="17">
        <f t="shared" si="3"/>
        <v>9.5625</v>
      </c>
      <c r="Q65" s="17">
        <f t="shared" si="4"/>
        <v>20</v>
      </c>
      <c r="R65" s="17" t="str">
        <f t="shared" si="18"/>
        <v/>
      </c>
      <c r="S65" s="17"/>
      <c r="T65" s="17"/>
      <c r="U65" s="17">
        <v>56</v>
      </c>
      <c r="V65" s="17">
        <f>'Bereich B '!$L$37</f>
        <v>5</v>
      </c>
      <c r="W65" s="17">
        <f t="shared" si="5"/>
        <v>5</v>
      </c>
      <c r="X65" s="17">
        <f t="shared" si="6"/>
        <v>51</v>
      </c>
      <c r="Y65" s="17">
        <f t="shared" si="7"/>
        <v>3.1875</v>
      </c>
      <c r="Z65" s="17">
        <f t="shared" si="8"/>
        <v>10</v>
      </c>
      <c r="AA65" s="17" t="str">
        <f t="shared" si="9"/>
        <v/>
      </c>
      <c r="AB65" s="17">
        <v>56</v>
      </c>
      <c r="AC65" s="17">
        <f t="shared" si="10"/>
        <v>51</v>
      </c>
      <c r="AD65" s="17">
        <f t="shared" si="11"/>
        <v>3.1875</v>
      </c>
      <c r="AE65" s="17">
        <f t="shared" si="12"/>
        <v>100</v>
      </c>
      <c r="AF65" s="17" t="str">
        <f t="shared" si="13"/>
        <v/>
      </c>
      <c r="AG65" s="17">
        <v>56</v>
      </c>
      <c r="AH65" s="17">
        <f t="shared" si="14"/>
        <v>51</v>
      </c>
      <c r="AI65" s="17">
        <f t="shared" si="15"/>
        <v>3.1875</v>
      </c>
      <c r="AJ65" s="17">
        <f t="shared" si="16"/>
        <v>0</v>
      </c>
      <c r="AK65" s="17" t="str">
        <f t="shared" si="17"/>
        <v/>
      </c>
    </row>
    <row r="66" spans="12:37" x14ac:dyDescent="0.25">
      <c r="L66" s="35">
        <v>57</v>
      </c>
      <c r="M66" s="17">
        <f>IF('Bereich C '!$L$38="","nein",'Bereich C '!$L$38)</f>
        <v>5</v>
      </c>
      <c r="N66" s="17">
        <f t="shared" si="1"/>
        <v>5</v>
      </c>
      <c r="O66" s="17">
        <f t="shared" si="2"/>
        <v>52</v>
      </c>
      <c r="P66" s="17">
        <f t="shared" si="3"/>
        <v>9.75</v>
      </c>
      <c r="Q66" s="17">
        <f t="shared" si="4"/>
        <v>20</v>
      </c>
      <c r="R66" s="17" t="str">
        <f t="shared" si="18"/>
        <v/>
      </c>
      <c r="S66" s="17"/>
      <c r="T66" s="17"/>
      <c r="U66" s="17">
        <v>57</v>
      </c>
      <c r="V66" s="17">
        <f>'Bereich B '!$L$37</f>
        <v>5</v>
      </c>
      <c r="W66" s="17">
        <f t="shared" si="5"/>
        <v>5</v>
      </c>
      <c r="X66" s="17">
        <f t="shared" si="6"/>
        <v>52</v>
      </c>
      <c r="Y66" s="17">
        <f t="shared" si="7"/>
        <v>3.25</v>
      </c>
      <c r="Z66" s="17">
        <f t="shared" si="8"/>
        <v>10</v>
      </c>
      <c r="AA66" s="17" t="str">
        <f t="shared" si="9"/>
        <v/>
      </c>
      <c r="AB66" s="17">
        <v>57</v>
      </c>
      <c r="AC66" s="17">
        <f t="shared" si="10"/>
        <v>52</v>
      </c>
      <c r="AD66" s="17">
        <f t="shared" si="11"/>
        <v>3.25</v>
      </c>
      <c r="AE66" s="17">
        <f t="shared" si="12"/>
        <v>100</v>
      </c>
      <c r="AF66" s="17" t="str">
        <f t="shared" si="13"/>
        <v/>
      </c>
      <c r="AG66" s="17">
        <v>57</v>
      </c>
      <c r="AH66" s="17">
        <f t="shared" si="14"/>
        <v>52</v>
      </c>
      <c r="AI66" s="17">
        <f t="shared" si="15"/>
        <v>3.25</v>
      </c>
      <c r="AJ66" s="17">
        <f t="shared" si="16"/>
        <v>0</v>
      </c>
      <c r="AK66" s="17" t="str">
        <f t="shared" si="17"/>
        <v/>
      </c>
    </row>
    <row r="67" spans="12:37" x14ac:dyDescent="0.25">
      <c r="L67" s="35">
        <v>58</v>
      </c>
      <c r="M67" s="17">
        <f>IF('Bereich C '!$L$38="","nein",'Bereich C '!$L$38)</f>
        <v>5</v>
      </c>
      <c r="N67" s="17">
        <f t="shared" si="1"/>
        <v>5</v>
      </c>
      <c r="O67" s="17">
        <f t="shared" si="2"/>
        <v>53</v>
      </c>
      <c r="P67" s="17">
        <f t="shared" si="3"/>
        <v>9.9375</v>
      </c>
      <c r="Q67" s="17">
        <f t="shared" si="4"/>
        <v>20</v>
      </c>
      <c r="R67" s="17" t="str">
        <f t="shared" si="18"/>
        <v/>
      </c>
      <c r="S67" s="17"/>
      <c r="T67" s="17"/>
      <c r="U67" s="17">
        <v>58</v>
      </c>
      <c r="V67" s="17">
        <f>'Bereich B '!$L$37</f>
        <v>5</v>
      </c>
      <c r="W67" s="17">
        <f t="shared" si="5"/>
        <v>5</v>
      </c>
      <c r="X67" s="17">
        <f t="shared" si="6"/>
        <v>53</v>
      </c>
      <c r="Y67" s="17">
        <f t="shared" si="7"/>
        <v>3.3125</v>
      </c>
      <c r="Z67" s="17">
        <f t="shared" si="8"/>
        <v>10</v>
      </c>
      <c r="AA67" s="17" t="str">
        <f t="shared" si="9"/>
        <v/>
      </c>
      <c r="AB67" s="17">
        <v>58</v>
      </c>
      <c r="AC67" s="17">
        <f t="shared" si="10"/>
        <v>53</v>
      </c>
      <c r="AD67" s="17">
        <f t="shared" si="11"/>
        <v>3.3125</v>
      </c>
      <c r="AE67" s="17">
        <f t="shared" si="12"/>
        <v>100</v>
      </c>
      <c r="AF67" s="17" t="str">
        <f t="shared" si="13"/>
        <v/>
      </c>
      <c r="AG67" s="17">
        <v>58</v>
      </c>
      <c r="AH67" s="17">
        <f t="shared" si="14"/>
        <v>53</v>
      </c>
      <c r="AI67" s="17">
        <f t="shared" si="15"/>
        <v>3.3125</v>
      </c>
      <c r="AJ67" s="17">
        <f t="shared" si="16"/>
        <v>0</v>
      </c>
      <c r="AK67" s="17" t="str">
        <f t="shared" si="17"/>
        <v/>
      </c>
    </row>
    <row r="68" spans="12:37" x14ac:dyDescent="0.25">
      <c r="L68" s="35">
        <v>59</v>
      </c>
      <c r="M68" s="17">
        <f>IF('Bereich C '!$L$38="","nein",'Bereich C '!$L$38)</f>
        <v>5</v>
      </c>
      <c r="N68" s="17">
        <f t="shared" si="1"/>
        <v>5</v>
      </c>
      <c r="O68" s="17">
        <f t="shared" si="2"/>
        <v>54</v>
      </c>
      <c r="P68" s="17">
        <f t="shared" si="3"/>
        <v>10.125</v>
      </c>
      <c r="Q68" s="17">
        <f t="shared" si="4"/>
        <v>20</v>
      </c>
      <c r="R68" s="17" t="str">
        <f t="shared" si="18"/>
        <v/>
      </c>
      <c r="S68" s="17"/>
      <c r="T68" s="17"/>
      <c r="U68" s="17">
        <v>59</v>
      </c>
      <c r="V68" s="17">
        <f>'Bereich B '!$L$37</f>
        <v>5</v>
      </c>
      <c r="W68" s="17">
        <f t="shared" si="5"/>
        <v>5</v>
      </c>
      <c r="X68" s="17">
        <f t="shared" si="6"/>
        <v>54</v>
      </c>
      <c r="Y68" s="17">
        <f t="shared" si="7"/>
        <v>3.375</v>
      </c>
      <c r="Z68" s="17">
        <f t="shared" si="8"/>
        <v>10</v>
      </c>
      <c r="AA68" s="17" t="str">
        <f t="shared" si="9"/>
        <v/>
      </c>
      <c r="AB68" s="17">
        <v>59</v>
      </c>
      <c r="AC68" s="17">
        <f t="shared" si="10"/>
        <v>54</v>
      </c>
      <c r="AD68" s="17">
        <f t="shared" si="11"/>
        <v>3.375</v>
      </c>
      <c r="AE68" s="17">
        <f t="shared" si="12"/>
        <v>100</v>
      </c>
      <c r="AF68" s="17" t="str">
        <f t="shared" si="13"/>
        <v/>
      </c>
      <c r="AG68" s="17">
        <v>59</v>
      </c>
      <c r="AH68" s="17">
        <f t="shared" si="14"/>
        <v>54</v>
      </c>
      <c r="AI68" s="17">
        <f t="shared" si="15"/>
        <v>3.375</v>
      </c>
      <c r="AJ68" s="17">
        <f t="shared" si="16"/>
        <v>0</v>
      </c>
      <c r="AK68" s="17" t="str">
        <f t="shared" si="17"/>
        <v/>
      </c>
    </row>
    <row r="69" spans="12:37" x14ac:dyDescent="0.25">
      <c r="L69" s="35">
        <v>60</v>
      </c>
      <c r="M69" s="17">
        <f>IF('Bereich C '!$L$38="","nein",'Bereich C '!$L$38)</f>
        <v>5</v>
      </c>
      <c r="N69" s="17">
        <f t="shared" si="1"/>
        <v>5</v>
      </c>
      <c r="O69" s="17">
        <f t="shared" si="2"/>
        <v>55</v>
      </c>
      <c r="P69" s="17">
        <f t="shared" si="3"/>
        <v>10.3125</v>
      </c>
      <c r="Q69" s="17">
        <f t="shared" si="4"/>
        <v>20</v>
      </c>
      <c r="R69" s="17" t="str">
        <f t="shared" si="18"/>
        <v/>
      </c>
      <c r="S69" s="17"/>
      <c r="T69" s="17"/>
      <c r="U69" s="17">
        <v>60</v>
      </c>
      <c r="V69" s="17">
        <f>'Bereich B '!$L$37</f>
        <v>5</v>
      </c>
      <c r="W69" s="17">
        <f t="shared" si="5"/>
        <v>5</v>
      </c>
      <c r="X69" s="17">
        <f t="shared" si="6"/>
        <v>55</v>
      </c>
      <c r="Y69" s="17">
        <f t="shared" si="7"/>
        <v>3.4375</v>
      </c>
      <c r="Z69" s="17">
        <f t="shared" si="8"/>
        <v>10</v>
      </c>
      <c r="AA69" s="17" t="str">
        <f t="shared" si="9"/>
        <v/>
      </c>
      <c r="AB69" s="17">
        <v>60</v>
      </c>
      <c r="AC69" s="17">
        <f t="shared" si="10"/>
        <v>55</v>
      </c>
      <c r="AD69" s="17">
        <f t="shared" si="11"/>
        <v>3.4375</v>
      </c>
      <c r="AE69" s="17">
        <f t="shared" si="12"/>
        <v>100</v>
      </c>
      <c r="AF69" s="17" t="str">
        <f t="shared" si="13"/>
        <v/>
      </c>
      <c r="AG69" s="17">
        <v>60</v>
      </c>
      <c r="AH69" s="17">
        <f t="shared" si="14"/>
        <v>55</v>
      </c>
      <c r="AI69" s="17">
        <f t="shared" si="15"/>
        <v>3.4375</v>
      </c>
      <c r="AJ69" s="17">
        <f t="shared" si="16"/>
        <v>0</v>
      </c>
      <c r="AK69" s="17" t="str">
        <f t="shared" si="17"/>
        <v/>
      </c>
    </row>
    <row r="70" spans="12:37" x14ac:dyDescent="0.25">
      <c r="L70" s="35">
        <v>61</v>
      </c>
      <c r="M70" s="17">
        <f>IF('Bereich C '!$L$38="","nein",'Bereich C '!$L$38)</f>
        <v>5</v>
      </c>
      <c r="N70" s="17">
        <f t="shared" si="1"/>
        <v>5</v>
      </c>
      <c r="O70" s="17">
        <f t="shared" si="2"/>
        <v>56</v>
      </c>
      <c r="P70" s="17">
        <f t="shared" si="3"/>
        <v>10.5</v>
      </c>
      <c r="Q70" s="17">
        <f t="shared" si="4"/>
        <v>20</v>
      </c>
      <c r="R70" s="17" t="str">
        <f t="shared" si="18"/>
        <v/>
      </c>
      <c r="S70" s="17"/>
      <c r="T70" s="17"/>
      <c r="U70" s="17">
        <v>61</v>
      </c>
      <c r="V70" s="17">
        <f>'Bereich B '!$L$37</f>
        <v>5</v>
      </c>
      <c r="W70" s="17">
        <f t="shared" si="5"/>
        <v>5</v>
      </c>
      <c r="X70" s="17">
        <f t="shared" si="6"/>
        <v>56</v>
      </c>
      <c r="Y70" s="17">
        <f t="shared" si="7"/>
        <v>3.5</v>
      </c>
      <c r="Z70" s="17">
        <f t="shared" si="8"/>
        <v>10</v>
      </c>
      <c r="AA70" s="17" t="str">
        <f t="shared" si="9"/>
        <v/>
      </c>
      <c r="AB70" s="17">
        <v>61</v>
      </c>
      <c r="AC70" s="17">
        <f t="shared" si="10"/>
        <v>56</v>
      </c>
      <c r="AD70" s="17">
        <f t="shared" si="11"/>
        <v>3.5</v>
      </c>
      <c r="AE70" s="17">
        <f t="shared" si="12"/>
        <v>100</v>
      </c>
      <c r="AF70" s="17" t="str">
        <f t="shared" si="13"/>
        <v/>
      </c>
      <c r="AG70" s="17">
        <v>61</v>
      </c>
      <c r="AH70" s="17">
        <f t="shared" si="14"/>
        <v>56</v>
      </c>
      <c r="AI70" s="17">
        <f t="shared" si="15"/>
        <v>3.5</v>
      </c>
      <c r="AJ70" s="17">
        <f t="shared" si="16"/>
        <v>0</v>
      </c>
      <c r="AK70" s="17" t="str">
        <f t="shared" si="17"/>
        <v/>
      </c>
    </row>
    <row r="71" spans="12:37" x14ac:dyDescent="0.25">
      <c r="L71" s="35">
        <v>62</v>
      </c>
      <c r="M71" s="17">
        <f>IF('Bereich C '!$L$38="","nein",'Bereich C '!$L$38)</f>
        <v>5</v>
      </c>
      <c r="N71" s="17">
        <f t="shared" si="1"/>
        <v>5</v>
      </c>
      <c r="O71" s="17">
        <f t="shared" si="2"/>
        <v>57</v>
      </c>
      <c r="P71" s="17">
        <f t="shared" si="3"/>
        <v>10.6875</v>
      </c>
      <c r="Q71" s="17">
        <f t="shared" si="4"/>
        <v>20</v>
      </c>
      <c r="R71" s="17" t="str">
        <f t="shared" si="18"/>
        <v/>
      </c>
      <c r="S71" s="17"/>
      <c r="T71" s="17"/>
      <c r="U71" s="17">
        <v>62</v>
      </c>
      <c r="V71" s="17">
        <f>'Bereich B '!$L$37</f>
        <v>5</v>
      </c>
      <c r="W71" s="17">
        <f t="shared" si="5"/>
        <v>5</v>
      </c>
      <c r="X71" s="17">
        <f t="shared" si="6"/>
        <v>57</v>
      </c>
      <c r="Y71" s="17">
        <f t="shared" si="7"/>
        <v>3.5625</v>
      </c>
      <c r="Z71" s="17">
        <f t="shared" si="8"/>
        <v>10</v>
      </c>
      <c r="AA71" s="17" t="str">
        <f t="shared" si="9"/>
        <v/>
      </c>
      <c r="AB71" s="17">
        <v>62</v>
      </c>
      <c r="AC71" s="17">
        <f t="shared" si="10"/>
        <v>57</v>
      </c>
      <c r="AD71" s="17">
        <f t="shared" si="11"/>
        <v>3.5625</v>
      </c>
      <c r="AE71" s="17">
        <f t="shared" si="12"/>
        <v>100</v>
      </c>
      <c r="AF71" s="17" t="str">
        <f t="shared" si="13"/>
        <v/>
      </c>
      <c r="AG71" s="17">
        <v>62</v>
      </c>
      <c r="AH71" s="17">
        <f t="shared" si="14"/>
        <v>57</v>
      </c>
      <c r="AI71" s="17">
        <f t="shared" si="15"/>
        <v>3.5625</v>
      </c>
      <c r="AJ71" s="17">
        <f t="shared" si="16"/>
        <v>0</v>
      </c>
      <c r="AK71" s="17" t="str">
        <f t="shared" si="17"/>
        <v/>
      </c>
    </row>
    <row r="72" spans="12:37" x14ac:dyDescent="0.25">
      <c r="L72" s="35">
        <v>63</v>
      </c>
      <c r="M72" s="17">
        <f>IF('Bereich C '!$L$38="","nein",'Bereich C '!$L$38)</f>
        <v>5</v>
      </c>
      <c r="N72" s="17">
        <f t="shared" si="1"/>
        <v>5</v>
      </c>
      <c r="O72" s="17">
        <f t="shared" si="2"/>
        <v>58</v>
      </c>
      <c r="P72" s="17">
        <f t="shared" si="3"/>
        <v>10.875</v>
      </c>
      <c r="Q72" s="17">
        <f t="shared" si="4"/>
        <v>20</v>
      </c>
      <c r="R72" s="17" t="str">
        <f t="shared" si="18"/>
        <v/>
      </c>
      <c r="S72" s="17"/>
      <c r="T72" s="17"/>
      <c r="U72" s="17">
        <v>63</v>
      </c>
      <c r="V72" s="17">
        <f>'Bereich B '!$L$37</f>
        <v>5</v>
      </c>
      <c r="W72" s="17">
        <f t="shared" si="5"/>
        <v>5</v>
      </c>
      <c r="X72" s="17">
        <f t="shared" si="6"/>
        <v>58</v>
      </c>
      <c r="Y72" s="17">
        <f t="shared" si="7"/>
        <v>3.625</v>
      </c>
      <c r="Z72" s="17">
        <f t="shared" si="8"/>
        <v>10</v>
      </c>
      <c r="AA72" s="17" t="str">
        <f t="shared" si="9"/>
        <v/>
      </c>
      <c r="AB72" s="17">
        <v>63</v>
      </c>
      <c r="AC72" s="17">
        <f t="shared" si="10"/>
        <v>58</v>
      </c>
      <c r="AD72" s="17">
        <f t="shared" si="11"/>
        <v>3.625</v>
      </c>
      <c r="AE72" s="17">
        <f t="shared" si="12"/>
        <v>100</v>
      </c>
      <c r="AF72" s="17" t="str">
        <f t="shared" si="13"/>
        <v/>
      </c>
      <c r="AG72" s="17">
        <v>63</v>
      </c>
      <c r="AH72" s="17">
        <f t="shared" si="14"/>
        <v>58</v>
      </c>
      <c r="AI72" s="17">
        <f t="shared" si="15"/>
        <v>3.625</v>
      </c>
      <c r="AJ72" s="17">
        <f t="shared" si="16"/>
        <v>0</v>
      </c>
      <c r="AK72" s="17" t="str">
        <f t="shared" si="17"/>
        <v/>
      </c>
    </row>
    <row r="73" spans="12:37" x14ac:dyDescent="0.25">
      <c r="L73" s="35">
        <v>64</v>
      </c>
      <c r="M73" s="17">
        <f>IF('Bereich C '!$L$38="","nein",'Bereich C '!$L$38)</f>
        <v>5</v>
      </c>
      <c r="N73" s="17">
        <f t="shared" si="1"/>
        <v>5</v>
      </c>
      <c r="O73" s="17">
        <f t="shared" si="2"/>
        <v>59</v>
      </c>
      <c r="P73" s="17">
        <f t="shared" si="3"/>
        <v>11.0625</v>
      </c>
      <c r="Q73" s="17">
        <f t="shared" si="4"/>
        <v>20</v>
      </c>
      <c r="R73" s="17" t="str">
        <f t="shared" ref="R73:R104" si="19">IF(Q73=L73,P73+N73,"")</f>
        <v/>
      </c>
      <c r="S73" s="17"/>
      <c r="T73" s="17"/>
      <c r="U73" s="17">
        <v>64</v>
      </c>
      <c r="V73" s="17">
        <f>'Bereich B '!$L$37</f>
        <v>5</v>
      </c>
      <c r="W73" s="17">
        <f t="shared" si="5"/>
        <v>5</v>
      </c>
      <c r="X73" s="17">
        <f t="shared" si="6"/>
        <v>59</v>
      </c>
      <c r="Y73" s="17">
        <f t="shared" si="7"/>
        <v>3.6875</v>
      </c>
      <c r="Z73" s="17">
        <f t="shared" si="8"/>
        <v>10</v>
      </c>
      <c r="AA73" s="17" t="str">
        <f t="shared" si="9"/>
        <v/>
      </c>
      <c r="AB73" s="17">
        <v>64</v>
      </c>
      <c r="AC73" s="17">
        <f t="shared" si="10"/>
        <v>59</v>
      </c>
      <c r="AD73" s="17">
        <f t="shared" si="11"/>
        <v>3.6875</v>
      </c>
      <c r="AE73" s="17">
        <f t="shared" si="12"/>
        <v>100</v>
      </c>
      <c r="AF73" s="17" t="str">
        <f t="shared" si="13"/>
        <v/>
      </c>
      <c r="AG73" s="17">
        <v>64</v>
      </c>
      <c r="AH73" s="17">
        <f t="shared" si="14"/>
        <v>59</v>
      </c>
      <c r="AI73" s="17">
        <f t="shared" si="15"/>
        <v>3.6875</v>
      </c>
      <c r="AJ73" s="17">
        <f t="shared" si="16"/>
        <v>0</v>
      </c>
      <c r="AK73" s="17" t="str">
        <f t="shared" si="17"/>
        <v/>
      </c>
    </row>
    <row r="74" spans="12:37" x14ac:dyDescent="0.25">
      <c r="L74" s="35">
        <v>65</v>
      </c>
      <c r="M74" s="17">
        <f>IF('Bereich C '!$L$38="","nein",'Bereich C '!$L$38)</f>
        <v>5</v>
      </c>
      <c r="N74" s="17">
        <f t="shared" ref="N74:N109" si="20">IF(M74="nein","",ROUND(M74,0))</f>
        <v>5</v>
      </c>
      <c r="O74" s="17">
        <f t="shared" ref="O74:O109" si="21">IF(N74="","",L74 - N74)</f>
        <v>60</v>
      </c>
      <c r="P74" s="17">
        <f t="shared" ref="P74:P109" si="22">IF(O74="","",O74*3/16)</f>
        <v>11.25</v>
      </c>
      <c r="Q74" s="17">
        <f t="shared" ref="Q74:Q109" si="23">IF($I$7="","",ROUND($I$7,0))</f>
        <v>20</v>
      </c>
      <c r="R74" s="17" t="str">
        <f t="shared" si="19"/>
        <v/>
      </c>
      <c r="S74" s="17"/>
      <c r="T74" s="17"/>
      <c r="U74" s="17">
        <v>65</v>
      </c>
      <c r="V74" s="17">
        <f>'Bereich B '!$L$37</f>
        <v>5</v>
      </c>
      <c r="W74" s="17">
        <f t="shared" ref="W74:W109" si="24">ROUND(V74,0)</f>
        <v>5</v>
      </c>
      <c r="X74" s="17">
        <f t="shared" ref="X74:X109" si="25">U74-W74</f>
        <v>60</v>
      </c>
      <c r="Y74" s="17">
        <f t="shared" ref="Y74:Y109" si="26">X74*1/16</f>
        <v>3.75</v>
      </c>
      <c r="Z74" s="17">
        <f t="shared" ref="Z74:Z109" si="27">IF($G$12="","",ROUND($G$12,0))</f>
        <v>10</v>
      </c>
      <c r="AA74" s="17" t="str">
        <f t="shared" ref="AA74:AA108" si="28">IF(Z74=U74,Y74+W74,"")</f>
        <v/>
      </c>
      <c r="AB74" s="17">
        <v>65</v>
      </c>
      <c r="AC74" s="17">
        <f t="shared" ref="AC74:AC109" si="29">AB74-W74</f>
        <v>60</v>
      </c>
      <c r="AD74" s="17">
        <f t="shared" ref="AD74:AD109" si="30">AC74*1/16</f>
        <v>3.75</v>
      </c>
      <c r="AE74" s="17">
        <f t="shared" ref="AE74:AE109" si="31">IF($H$12="","",ROUND($H$12,0))</f>
        <v>100</v>
      </c>
      <c r="AF74" s="17" t="str">
        <f t="shared" ref="AF74:AF109" si="32">IF(AE74=AB74,AD74,"")</f>
        <v/>
      </c>
      <c r="AG74" s="17">
        <v>65</v>
      </c>
      <c r="AH74" s="17">
        <f t="shared" ref="AH74:AH109" si="33">AG74-W74</f>
        <v>60</v>
      </c>
      <c r="AI74" s="17">
        <f t="shared" ref="AI74:AI109" si="34">AH74*1/16</f>
        <v>3.75</v>
      </c>
      <c r="AJ74" s="17">
        <f t="shared" ref="AJ74:AJ109" si="35">IF($I$12="","",ROUND($I$12,0))</f>
        <v>0</v>
      </c>
      <c r="AK74" s="17" t="str">
        <f t="shared" ref="AK74:AK109" si="36">IF(AJ74=AG74,AI74,"")</f>
        <v/>
      </c>
    </row>
    <row r="75" spans="12:37" x14ac:dyDescent="0.25">
      <c r="L75" s="35">
        <v>66</v>
      </c>
      <c r="M75" s="17">
        <f>IF('Bereich C '!$L$38="","nein",'Bereich C '!$L$38)</f>
        <v>5</v>
      </c>
      <c r="N75" s="17">
        <f t="shared" si="20"/>
        <v>5</v>
      </c>
      <c r="O75" s="17">
        <f t="shared" si="21"/>
        <v>61</v>
      </c>
      <c r="P75" s="17">
        <f t="shared" si="22"/>
        <v>11.4375</v>
      </c>
      <c r="Q75" s="17">
        <f t="shared" si="23"/>
        <v>20</v>
      </c>
      <c r="R75" s="17" t="str">
        <f t="shared" si="19"/>
        <v/>
      </c>
      <c r="S75" s="17"/>
      <c r="T75" s="17"/>
      <c r="U75" s="17">
        <v>66</v>
      </c>
      <c r="V75" s="17">
        <f>'Bereich B '!$L$37</f>
        <v>5</v>
      </c>
      <c r="W75" s="17">
        <f t="shared" si="24"/>
        <v>5</v>
      </c>
      <c r="X75" s="17">
        <f t="shared" si="25"/>
        <v>61</v>
      </c>
      <c r="Y75" s="17">
        <f t="shared" si="26"/>
        <v>3.8125</v>
      </c>
      <c r="Z75" s="17">
        <f t="shared" si="27"/>
        <v>10</v>
      </c>
      <c r="AA75" s="17" t="str">
        <f t="shared" si="28"/>
        <v/>
      </c>
      <c r="AB75" s="17">
        <v>66</v>
      </c>
      <c r="AC75" s="17">
        <f t="shared" si="29"/>
        <v>61</v>
      </c>
      <c r="AD75" s="17">
        <f t="shared" si="30"/>
        <v>3.8125</v>
      </c>
      <c r="AE75" s="17">
        <f t="shared" si="31"/>
        <v>100</v>
      </c>
      <c r="AF75" s="17" t="str">
        <f t="shared" si="32"/>
        <v/>
      </c>
      <c r="AG75" s="17">
        <v>66</v>
      </c>
      <c r="AH75" s="17">
        <f t="shared" si="33"/>
        <v>61</v>
      </c>
      <c r="AI75" s="17">
        <f t="shared" si="34"/>
        <v>3.8125</v>
      </c>
      <c r="AJ75" s="17">
        <f t="shared" si="35"/>
        <v>0</v>
      </c>
      <c r="AK75" s="17" t="str">
        <f t="shared" si="36"/>
        <v/>
      </c>
    </row>
    <row r="76" spans="12:37" x14ac:dyDescent="0.25">
      <c r="L76" s="35">
        <v>67</v>
      </c>
      <c r="M76" s="17">
        <f>IF('Bereich C '!$L$38="","nein",'Bereich C '!$L$38)</f>
        <v>5</v>
      </c>
      <c r="N76" s="17">
        <f t="shared" si="20"/>
        <v>5</v>
      </c>
      <c r="O76" s="17">
        <f t="shared" si="21"/>
        <v>62</v>
      </c>
      <c r="P76" s="17">
        <f t="shared" si="22"/>
        <v>11.625</v>
      </c>
      <c r="Q76" s="17">
        <f t="shared" si="23"/>
        <v>20</v>
      </c>
      <c r="R76" s="17" t="str">
        <f t="shared" si="19"/>
        <v/>
      </c>
      <c r="S76" s="17"/>
      <c r="T76" s="17"/>
      <c r="U76" s="17">
        <v>67</v>
      </c>
      <c r="V76" s="17">
        <f>'Bereich B '!$L$37</f>
        <v>5</v>
      </c>
      <c r="W76" s="17">
        <f t="shared" si="24"/>
        <v>5</v>
      </c>
      <c r="X76" s="17">
        <f t="shared" si="25"/>
        <v>62</v>
      </c>
      <c r="Y76" s="17">
        <f t="shared" si="26"/>
        <v>3.875</v>
      </c>
      <c r="Z76" s="17">
        <f t="shared" si="27"/>
        <v>10</v>
      </c>
      <c r="AA76" s="17" t="str">
        <f t="shared" si="28"/>
        <v/>
      </c>
      <c r="AB76" s="17">
        <v>67</v>
      </c>
      <c r="AC76" s="17">
        <f t="shared" si="29"/>
        <v>62</v>
      </c>
      <c r="AD76" s="17">
        <f t="shared" si="30"/>
        <v>3.875</v>
      </c>
      <c r="AE76" s="17">
        <f t="shared" si="31"/>
        <v>100</v>
      </c>
      <c r="AF76" s="17" t="str">
        <f t="shared" si="32"/>
        <v/>
      </c>
      <c r="AG76" s="17">
        <v>67</v>
      </c>
      <c r="AH76" s="17">
        <f t="shared" si="33"/>
        <v>62</v>
      </c>
      <c r="AI76" s="17">
        <f t="shared" si="34"/>
        <v>3.875</v>
      </c>
      <c r="AJ76" s="17">
        <f t="shared" si="35"/>
        <v>0</v>
      </c>
      <c r="AK76" s="17" t="str">
        <f t="shared" si="36"/>
        <v/>
      </c>
    </row>
    <row r="77" spans="12:37" x14ac:dyDescent="0.25">
      <c r="L77" s="35">
        <v>68</v>
      </c>
      <c r="M77" s="17">
        <f>IF('Bereich C '!$L$38="","nein",'Bereich C '!$L$38)</f>
        <v>5</v>
      </c>
      <c r="N77" s="17">
        <f t="shared" si="20"/>
        <v>5</v>
      </c>
      <c r="O77" s="17">
        <f t="shared" si="21"/>
        <v>63</v>
      </c>
      <c r="P77" s="17">
        <f t="shared" si="22"/>
        <v>11.8125</v>
      </c>
      <c r="Q77" s="17">
        <f t="shared" si="23"/>
        <v>20</v>
      </c>
      <c r="R77" s="17" t="str">
        <f t="shared" si="19"/>
        <v/>
      </c>
      <c r="S77" s="17"/>
      <c r="T77" s="17"/>
      <c r="U77" s="17">
        <v>68</v>
      </c>
      <c r="V77" s="17">
        <f>'Bereich B '!$L$37</f>
        <v>5</v>
      </c>
      <c r="W77" s="17">
        <f t="shared" si="24"/>
        <v>5</v>
      </c>
      <c r="X77" s="17">
        <f t="shared" si="25"/>
        <v>63</v>
      </c>
      <c r="Y77" s="17">
        <f t="shared" si="26"/>
        <v>3.9375</v>
      </c>
      <c r="Z77" s="17">
        <f t="shared" si="27"/>
        <v>10</v>
      </c>
      <c r="AA77" s="17" t="str">
        <f t="shared" si="28"/>
        <v/>
      </c>
      <c r="AB77" s="17">
        <v>68</v>
      </c>
      <c r="AC77" s="17">
        <f t="shared" si="29"/>
        <v>63</v>
      </c>
      <c r="AD77" s="17">
        <f t="shared" si="30"/>
        <v>3.9375</v>
      </c>
      <c r="AE77" s="17">
        <f t="shared" si="31"/>
        <v>100</v>
      </c>
      <c r="AF77" s="17" t="str">
        <f t="shared" si="32"/>
        <v/>
      </c>
      <c r="AG77" s="17">
        <v>68</v>
      </c>
      <c r="AH77" s="17">
        <f t="shared" si="33"/>
        <v>63</v>
      </c>
      <c r="AI77" s="17">
        <f t="shared" si="34"/>
        <v>3.9375</v>
      </c>
      <c r="AJ77" s="17">
        <f t="shared" si="35"/>
        <v>0</v>
      </c>
      <c r="AK77" s="17" t="str">
        <f t="shared" si="36"/>
        <v/>
      </c>
    </row>
    <row r="78" spans="12:37" x14ac:dyDescent="0.25">
      <c r="L78" s="35">
        <v>69</v>
      </c>
      <c r="M78" s="17">
        <f>IF('Bereich C '!$L$38="","nein",'Bereich C '!$L$38)</f>
        <v>5</v>
      </c>
      <c r="N78" s="17">
        <f t="shared" si="20"/>
        <v>5</v>
      </c>
      <c r="O78" s="17">
        <f t="shared" si="21"/>
        <v>64</v>
      </c>
      <c r="P78" s="17">
        <f t="shared" si="22"/>
        <v>12</v>
      </c>
      <c r="Q78" s="17">
        <f t="shared" si="23"/>
        <v>20</v>
      </c>
      <c r="R78" s="17" t="str">
        <f t="shared" si="19"/>
        <v/>
      </c>
      <c r="S78" s="17"/>
      <c r="T78" s="17"/>
      <c r="U78" s="17">
        <v>69</v>
      </c>
      <c r="V78" s="17">
        <f>'Bereich B '!$L$37</f>
        <v>5</v>
      </c>
      <c r="W78" s="17">
        <f t="shared" si="24"/>
        <v>5</v>
      </c>
      <c r="X78" s="17">
        <f t="shared" si="25"/>
        <v>64</v>
      </c>
      <c r="Y78" s="17">
        <f t="shared" si="26"/>
        <v>4</v>
      </c>
      <c r="Z78" s="17">
        <f t="shared" si="27"/>
        <v>10</v>
      </c>
      <c r="AA78" s="17" t="str">
        <f t="shared" si="28"/>
        <v/>
      </c>
      <c r="AB78" s="17">
        <v>69</v>
      </c>
      <c r="AC78" s="17">
        <f t="shared" si="29"/>
        <v>64</v>
      </c>
      <c r="AD78" s="17">
        <f t="shared" si="30"/>
        <v>4</v>
      </c>
      <c r="AE78" s="17">
        <f t="shared" si="31"/>
        <v>100</v>
      </c>
      <c r="AF78" s="17" t="str">
        <f t="shared" si="32"/>
        <v/>
      </c>
      <c r="AG78" s="17">
        <v>69</v>
      </c>
      <c r="AH78" s="17">
        <f t="shared" si="33"/>
        <v>64</v>
      </c>
      <c r="AI78" s="17">
        <f t="shared" si="34"/>
        <v>4</v>
      </c>
      <c r="AJ78" s="17">
        <f t="shared" si="35"/>
        <v>0</v>
      </c>
      <c r="AK78" s="17" t="str">
        <f t="shared" si="36"/>
        <v/>
      </c>
    </row>
    <row r="79" spans="12:37" x14ac:dyDescent="0.25">
      <c r="L79" s="35">
        <v>70</v>
      </c>
      <c r="M79" s="17">
        <f>IF('Bereich C '!$L$38="","nein",'Bereich C '!$L$38)</f>
        <v>5</v>
      </c>
      <c r="N79" s="17">
        <f t="shared" si="20"/>
        <v>5</v>
      </c>
      <c r="O79" s="17">
        <f t="shared" si="21"/>
        <v>65</v>
      </c>
      <c r="P79" s="17">
        <f t="shared" si="22"/>
        <v>12.1875</v>
      </c>
      <c r="Q79" s="17">
        <f t="shared" si="23"/>
        <v>20</v>
      </c>
      <c r="R79" s="17" t="str">
        <f t="shared" si="19"/>
        <v/>
      </c>
      <c r="S79" s="17"/>
      <c r="T79" s="17"/>
      <c r="U79" s="17">
        <v>70</v>
      </c>
      <c r="V79" s="17">
        <f>'Bereich B '!$L$37</f>
        <v>5</v>
      </c>
      <c r="W79" s="17">
        <f t="shared" si="24"/>
        <v>5</v>
      </c>
      <c r="X79" s="17">
        <f t="shared" si="25"/>
        <v>65</v>
      </c>
      <c r="Y79" s="17">
        <f t="shared" si="26"/>
        <v>4.0625</v>
      </c>
      <c r="Z79" s="17">
        <f t="shared" si="27"/>
        <v>10</v>
      </c>
      <c r="AA79" s="17" t="str">
        <f t="shared" si="28"/>
        <v/>
      </c>
      <c r="AB79" s="17">
        <v>70</v>
      </c>
      <c r="AC79" s="17">
        <f t="shared" si="29"/>
        <v>65</v>
      </c>
      <c r="AD79" s="17">
        <f t="shared" si="30"/>
        <v>4.0625</v>
      </c>
      <c r="AE79" s="17">
        <f t="shared" si="31"/>
        <v>100</v>
      </c>
      <c r="AF79" s="17" t="str">
        <f t="shared" si="32"/>
        <v/>
      </c>
      <c r="AG79" s="17">
        <v>70</v>
      </c>
      <c r="AH79" s="17">
        <f t="shared" si="33"/>
        <v>65</v>
      </c>
      <c r="AI79" s="17">
        <f t="shared" si="34"/>
        <v>4.0625</v>
      </c>
      <c r="AJ79" s="17">
        <f t="shared" si="35"/>
        <v>0</v>
      </c>
      <c r="AK79" s="17" t="str">
        <f t="shared" si="36"/>
        <v/>
      </c>
    </row>
    <row r="80" spans="12:37" x14ac:dyDescent="0.25">
      <c r="L80" s="35">
        <v>71</v>
      </c>
      <c r="M80" s="17">
        <f>IF('Bereich C '!$L$38="","nein",'Bereich C '!$L$38)</f>
        <v>5</v>
      </c>
      <c r="N80" s="17">
        <f t="shared" si="20"/>
        <v>5</v>
      </c>
      <c r="O80" s="17">
        <f t="shared" si="21"/>
        <v>66</v>
      </c>
      <c r="P80" s="17">
        <f t="shared" si="22"/>
        <v>12.375</v>
      </c>
      <c r="Q80" s="17">
        <f t="shared" si="23"/>
        <v>20</v>
      </c>
      <c r="R80" s="17" t="str">
        <f t="shared" si="19"/>
        <v/>
      </c>
      <c r="S80" s="17"/>
      <c r="T80" s="17"/>
      <c r="U80" s="17">
        <v>71</v>
      </c>
      <c r="V80" s="17">
        <f>'Bereich B '!$L$37</f>
        <v>5</v>
      </c>
      <c r="W80" s="17">
        <f t="shared" si="24"/>
        <v>5</v>
      </c>
      <c r="X80" s="17">
        <f t="shared" si="25"/>
        <v>66</v>
      </c>
      <c r="Y80" s="17">
        <f t="shared" si="26"/>
        <v>4.125</v>
      </c>
      <c r="Z80" s="17">
        <f t="shared" si="27"/>
        <v>10</v>
      </c>
      <c r="AA80" s="17" t="str">
        <f t="shared" si="28"/>
        <v/>
      </c>
      <c r="AB80" s="17">
        <v>71</v>
      </c>
      <c r="AC80" s="17">
        <f t="shared" si="29"/>
        <v>66</v>
      </c>
      <c r="AD80" s="17">
        <f t="shared" si="30"/>
        <v>4.125</v>
      </c>
      <c r="AE80" s="17">
        <f t="shared" si="31"/>
        <v>100</v>
      </c>
      <c r="AF80" s="17" t="str">
        <f t="shared" si="32"/>
        <v/>
      </c>
      <c r="AG80" s="17">
        <v>71</v>
      </c>
      <c r="AH80" s="17">
        <f t="shared" si="33"/>
        <v>66</v>
      </c>
      <c r="AI80" s="17">
        <f t="shared" si="34"/>
        <v>4.125</v>
      </c>
      <c r="AJ80" s="17">
        <f t="shared" si="35"/>
        <v>0</v>
      </c>
      <c r="AK80" s="17" t="str">
        <f t="shared" si="36"/>
        <v/>
      </c>
    </row>
    <row r="81" spans="12:37" x14ac:dyDescent="0.25">
      <c r="L81" s="35">
        <v>72</v>
      </c>
      <c r="M81" s="17">
        <f>IF('Bereich C '!$L$38="","nein",'Bereich C '!$L$38)</f>
        <v>5</v>
      </c>
      <c r="N81" s="17">
        <f t="shared" si="20"/>
        <v>5</v>
      </c>
      <c r="O81" s="17">
        <f t="shared" si="21"/>
        <v>67</v>
      </c>
      <c r="P81" s="17">
        <f t="shared" si="22"/>
        <v>12.5625</v>
      </c>
      <c r="Q81" s="17">
        <f t="shared" si="23"/>
        <v>20</v>
      </c>
      <c r="R81" s="17" t="str">
        <f t="shared" si="19"/>
        <v/>
      </c>
      <c r="S81" s="17"/>
      <c r="T81" s="17"/>
      <c r="U81" s="17">
        <v>72</v>
      </c>
      <c r="V81" s="17">
        <f>'Bereich B '!$L$37</f>
        <v>5</v>
      </c>
      <c r="W81" s="17">
        <f t="shared" si="24"/>
        <v>5</v>
      </c>
      <c r="X81" s="17">
        <f t="shared" si="25"/>
        <v>67</v>
      </c>
      <c r="Y81" s="17">
        <f t="shared" si="26"/>
        <v>4.1875</v>
      </c>
      <c r="Z81" s="17">
        <f t="shared" si="27"/>
        <v>10</v>
      </c>
      <c r="AA81" s="17" t="str">
        <f t="shared" si="28"/>
        <v/>
      </c>
      <c r="AB81" s="17">
        <v>72</v>
      </c>
      <c r="AC81" s="17">
        <f t="shared" si="29"/>
        <v>67</v>
      </c>
      <c r="AD81" s="17">
        <f t="shared" si="30"/>
        <v>4.1875</v>
      </c>
      <c r="AE81" s="17">
        <f t="shared" si="31"/>
        <v>100</v>
      </c>
      <c r="AF81" s="17" t="str">
        <f t="shared" si="32"/>
        <v/>
      </c>
      <c r="AG81" s="17">
        <v>72</v>
      </c>
      <c r="AH81" s="17">
        <f t="shared" si="33"/>
        <v>67</v>
      </c>
      <c r="AI81" s="17">
        <f t="shared" si="34"/>
        <v>4.1875</v>
      </c>
      <c r="AJ81" s="17">
        <f t="shared" si="35"/>
        <v>0</v>
      </c>
      <c r="AK81" s="17" t="str">
        <f t="shared" si="36"/>
        <v/>
      </c>
    </row>
    <row r="82" spans="12:37" x14ac:dyDescent="0.25">
      <c r="L82" s="35">
        <v>73</v>
      </c>
      <c r="M82" s="17">
        <f>IF('Bereich C '!$L$38="","nein",'Bereich C '!$L$38)</f>
        <v>5</v>
      </c>
      <c r="N82" s="17">
        <f t="shared" si="20"/>
        <v>5</v>
      </c>
      <c r="O82" s="17">
        <f t="shared" si="21"/>
        <v>68</v>
      </c>
      <c r="P82" s="17">
        <f t="shared" si="22"/>
        <v>12.75</v>
      </c>
      <c r="Q82" s="17">
        <f t="shared" si="23"/>
        <v>20</v>
      </c>
      <c r="R82" s="17" t="str">
        <f t="shared" si="19"/>
        <v/>
      </c>
      <c r="S82" s="17"/>
      <c r="T82" s="17"/>
      <c r="U82" s="17">
        <v>73</v>
      </c>
      <c r="V82" s="17">
        <f>'Bereich B '!$L$37</f>
        <v>5</v>
      </c>
      <c r="W82" s="17">
        <f t="shared" si="24"/>
        <v>5</v>
      </c>
      <c r="X82" s="17">
        <f t="shared" si="25"/>
        <v>68</v>
      </c>
      <c r="Y82" s="17">
        <f t="shared" si="26"/>
        <v>4.25</v>
      </c>
      <c r="Z82" s="17">
        <f t="shared" si="27"/>
        <v>10</v>
      </c>
      <c r="AA82" s="17" t="str">
        <f t="shared" si="28"/>
        <v/>
      </c>
      <c r="AB82" s="17">
        <v>73</v>
      </c>
      <c r="AC82" s="17">
        <f t="shared" si="29"/>
        <v>68</v>
      </c>
      <c r="AD82" s="17">
        <f t="shared" si="30"/>
        <v>4.25</v>
      </c>
      <c r="AE82" s="17">
        <f t="shared" si="31"/>
        <v>100</v>
      </c>
      <c r="AF82" s="17" t="str">
        <f t="shared" si="32"/>
        <v/>
      </c>
      <c r="AG82" s="17">
        <v>73</v>
      </c>
      <c r="AH82" s="17">
        <f t="shared" si="33"/>
        <v>68</v>
      </c>
      <c r="AI82" s="17">
        <f t="shared" si="34"/>
        <v>4.25</v>
      </c>
      <c r="AJ82" s="17">
        <f t="shared" si="35"/>
        <v>0</v>
      </c>
      <c r="AK82" s="17" t="str">
        <f t="shared" si="36"/>
        <v/>
      </c>
    </row>
    <row r="83" spans="12:37" x14ac:dyDescent="0.25">
      <c r="L83" s="35">
        <v>74</v>
      </c>
      <c r="M83" s="17">
        <f>IF('Bereich C '!$L$38="","nein",'Bereich C '!$L$38)</f>
        <v>5</v>
      </c>
      <c r="N83" s="17">
        <f t="shared" si="20"/>
        <v>5</v>
      </c>
      <c r="O83" s="17">
        <f t="shared" si="21"/>
        <v>69</v>
      </c>
      <c r="P83" s="17">
        <f t="shared" si="22"/>
        <v>12.9375</v>
      </c>
      <c r="Q83" s="17">
        <f t="shared" si="23"/>
        <v>20</v>
      </c>
      <c r="R83" s="17" t="str">
        <f t="shared" si="19"/>
        <v/>
      </c>
      <c r="S83" s="17"/>
      <c r="T83" s="17"/>
      <c r="U83" s="17">
        <v>74</v>
      </c>
      <c r="V83" s="17">
        <f>'Bereich B '!$L$37</f>
        <v>5</v>
      </c>
      <c r="W83" s="17">
        <f t="shared" si="24"/>
        <v>5</v>
      </c>
      <c r="X83" s="17">
        <f t="shared" si="25"/>
        <v>69</v>
      </c>
      <c r="Y83" s="17">
        <f t="shared" si="26"/>
        <v>4.3125</v>
      </c>
      <c r="Z83" s="17">
        <f t="shared" si="27"/>
        <v>10</v>
      </c>
      <c r="AA83" s="17" t="str">
        <f t="shared" si="28"/>
        <v/>
      </c>
      <c r="AB83" s="17">
        <v>74</v>
      </c>
      <c r="AC83" s="17">
        <f t="shared" si="29"/>
        <v>69</v>
      </c>
      <c r="AD83" s="17">
        <f t="shared" si="30"/>
        <v>4.3125</v>
      </c>
      <c r="AE83" s="17">
        <f t="shared" si="31"/>
        <v>100</v>
      </c>
      <c r="AF83" s="17" t="str">
        <f t="shared" si="32"/>
        <v/>
      </c>
      <c r="AG83" s="17">
        <v>74</v>
      </c>
      <c r="AH83" s="17">
        <f t="shared" si="33"/>
        <v>69</v>
      </c>
      <c r="AI83" s="17">
        <f t="shared" si="34"/>
        <v>4.3125</v>
      </c>
      <c r="AJ83" s="17">
        <f t="shared" si="35"/>
        <v>0</v>
      </c>
      <c r="AK83" s="17" t="str">
        <f t="shared" si="36"/>
        <v/>
      </c>
    </row>
    <row r="84" spans="12:37" x14ac:dyDescent="0.25">
      <c r="L84" s="35">
        <v>75</v>
      </c>
      <c r="M84" s="17">
        <f>IF('Bereich C '!$L$38="","nein",'Bereich C '!$L$38)</f>
        <v>5</v>
      </c>
      <c r="N84" s="17">
        <f t="shared" si="20"/>
        <v>5</v>
      </c>
      <c r="O84" s="17">
        <f t="shared" si="21"/>
        <v>70</v>
      </c>
      <c r="P84" s="17">
        <f t="shared" si="22"/>
        <v>13.125</v>
      </c>
      <c r="Q84" s="17">
        <f t="shared" si="23"/>
        <v>20</v>
      </c>
      <c r="R84" s="17" t="str">
        <f t="shared" si="19"/>
        <v/>
      </c>
      <c r="S84" s="17"/>
      <c r="T84" s="17"/>
      <c r="U84" s="17">
        <v>75</v>
      </c>
      <c r="V84" s="17">
        <f>'Bereich B '!$L$37</f>
        <v>5</v>
      </c>
      <c r="W84" s="17">
        <f t="shared" si="24"/>
        <v>5</v>
      </c>
      <c r="X84" s="17">
        <f t="shared" si="25"/>
        <v>70</v>
      </c>
      <c r="Y84" s="17">
        <f t="shared" si="26"/>
        <v>4.375</v>
      </c>
      <c r="Z84" s="17">
        <f t="shared" si="27"/>
        <v>10</v>
      </c>
      <c r="AA84" s="17" t="str">
        <f t="shared" si="28"/>
        <v/>
      </c>
      <c r="AB84" s="17">
        <v>75</v>
      </c>
      <c r="AC84" s="17">
        <f t="shared" si="29"/>
        <v>70</v>
      </c>
      <c r="AD84" s="17">
        <f t="shared" si="30"/>
        <v>4.375</v>
      </c>
      <c r="AE84" s="17">
        <f t="shared" si="31"/>
        <v>100</v>
      </c>
      <c r="AF84" s="17" t="str">
        <f t="shared" si="32"/>
        <v/>
      </c>
      <c r="AG84" s="17">
        <v>75</v>
      </c>
      <c r="AH84" s="17">
        <f t="shared" si="33"/>
        <v>70</v>
      </c>
      <c r="AI84" s="17">
        <f t="shared" si="34"/>
        <v>4.375</v>
      </c>
      <c r="AJ84" s="17">
        <f t="shared" si="35"/>
        <v>0</v>
      </c>
      <c r="AK84" s="17" t="str">
        <f t="shared" si="36"/>
        <v/>
      </c>
    </row>
    <row r="85" spans="12:37" x14ac:dyDescent="0.25">
      <c r="L85" s="35">
        <v>76</v>
      </c>
      <c r="M85" s="17">
        <f>IF('Bereich C '!$L$38="","nein",'Bereich C '!$L$38)</f>
        <v>5</v>
      </c>
      <c r="N85" s="17">
        <f t="shared" si="20"/>
        <v>5</v>
      </c>
      <c r="O85" s="17">
        <f t="shared" si="21"/>
        <v>71</v>
      </c>
      <c r="P85" s="17">
        <f t="shared" si="22"/>
        <v>13.3125</v>
      </c>
      <c r="Q85" s="17">
        <f t="shared" si="23"/>
        <v>20</v>
      </c>
      <c r="R85" s="17" t="str">
        <f t="shared" si="19"/>
        <v/>
      </c>
      <c r="S85" s="17"/>
      <c r="T85" s="17"/>
      <c r="U85" s="17">
        <v>76</v>
      </c>
      <c r="V85" s="17">
        <f>'Bereich B '!$L$37</f>
        <v>5</v>
      </c>
      <c r="W85" s="17">
        <f t="shared" si="24"/>
        <v>5</v>
      </c>
      <c r="X85" s="17">
        <f t="shared" si="25"/>
        <v>71</v>
      </c>
      <c r="Y85" s="17">
        <f t="shared" si="26"/>
        <v>4.4375</v>
      </c>
      <c r="Z85" s="17">
        <f t="shared" si="27"/>
        <v>10</v>
      </c>
      <c r="AA85" s="17" t="str">
        <f t="shared" si="28"/>
        <v/>
      </c>
      <c r="AB85" s="17">
        <v>76</v>
      </c>
      <c r="AC85" s="17">
        <f t="shared" si="29"/>
        <v>71</v>
      </c>
      <c r="AD85" s="17">
        <f t="shared" si="30"/>
        <v>4.4375</v>
      </c>
      <c r="AE85" s="17">
        <f t="shared" si="31"/>
        <v>100</v>
      </c>
      <c r="AF85" s="17" t="str">
        <f t="shared" si="32"/>
        <v/>
      </c>
      <c r="AG85" s="17">
        <v>76</v>
      </c>
      <c r="AH85" s="17">
        <f t="shared" si="33"/>
        <v>71</v>
      </c>
      <c r="AI85" s="17">
        <f t="shared" si="34"/>
        <v>4.4375</v>
      </c>
      <c r="AJ85" s="17">
        <f t="shared" si="35"/>
        <v>0</v>
      </c>
      <c r="AK85" s="17" t="str">
        <f t="shared" si="36"/>
        <v/>
      </c>
    </row>
    <row r="86" spans="12:37" x14ac:dyDescent="0.25">
      <c r="L86" s="35">
        <v>77</v>
      </c>
      <c r="M86" s="17">
        <f>IF('Bereich C '!$L$38="","nein",'Bereich C '!$L$38)</f>
        <v>5</v>
      </c>
      <c r="N86" s="17">
        <f t="shared" si="20"/>
        <v>5</v>
      </c>
      <c r="O86" s="17">
        <f t="shared" si="21"/>
        <v>72</v>
      </c>
      <c r="P86" s="17">
        <f t="shared" si="22"/>
        <v>13.5</v>
      </c>
      <c r="Q86" s="17">
        <f t="shared" si="23"/>
        <v>20</v>
      </c>
      <c r="R86" s="17" t="str">
        <f t="shared" si="19"/>
        <v/>
      </c>
      <c r="S86" s="17"/>
      <c r="T86" s="17"/>
      <c r="U86" s="17">
        <v>77</v>
      </c>
      <c r="V86" s="17">
        <f>'Bereich B '!$L$37</f>
        <v>5</v>
      </c>
      <c r="W86" s="17">
        <f t="shared" si="24"/>
        <v>5</v>
      </c>
      <c r="X86" s="17">
        <f t="shared" si="25"/>
        <v>72</v>
      </c>
      <c r="Y86" s="17">
        <f t="shared" si="26"/>
        <v>4.5</v>
      </c>
      <c r="Z86" s="17">
        <f t="shared" si="27"/>
        <v>10</v>
      </c>
      <c r="AA86" s="17" t="str">
        <f t="shared" si="28"/>
        <v/>
      </c>
      <c r="AB86" s="17">
        <v>77</v>
      </c>
      <c r="AC86" s="17">
        <f t="shared" si="29"/>
        <v>72</v>
      </c>
      <c r="AD86" s="17">
        <f t="shared" si="30"/>
        <v>4.5</v>
      </c>
      <c r="AE86" s="17">
        <f t="shared" si="31"/>
        <v>100</v>
      </c>
      <c r="AF86" s="17" t="str">
        <f t="shared" si="32"/>
        <v/>
      </c>
      <c r="AG86" s="17">
        <v>77</v>
      </c>
      <c r="AH86" s="17">
        <f t="shared" si="33"/>
        <v>72</v>
      </c>
      <c r="AI86" s="17">
        <f t="shared" si="34"/>
        <v>4.5</v>
      </c>
      <c r="AJ86" s="17">
        <f t="shared" si="35"/>
        <v>0</v>
      </c>
      <c r="AK86" s="17" t="str">
        <f t="shared" si="36"/>
        <v/>
      </c>
    </row>
    <row r="87" spans="12:37" x14ac:dyDescent="0.25">
      <c r="L87" s="35">
        <v>78</v>
      </c>
      <c r="M87" s="17">
        <f>IF('Bereich C '!$L$38="","nein",'Bereich C '!$L$38)</f>
        <v>5</v>
      </c>
      <c r="N87" s="17">
        <f t="shared" si="20"/>
        <v>5</v>
      </c>
      <c r="O87" s="17">
        <f t="shared" si="21"/>
        <v>73</v>
      </c>
      <c r="P87" s="17">
        <f t="shared" si="22"/>
        <v>13.6875</v>
      </c>
      <c r="Q87" s="17">
        <f t="shared" si="23"/>
        <v>20</v>
      </c>
      <c r="R87" s="17" t="str">
        <f t="shared" si="19"/>
        <v/>
      </c>
      <c r="S87" s="17"/>
      <c r="T87" s="17"/>
      <c r="U87" s="17">
        <v>78</v>
      </c>
      <c r="V87" s="17">
        <f>'Bereich B '!$L$37</f>
        <v>5</v>
      </c>
      <c r="W87" s="17">
        <f t="shared" si="24"/>
        <v>5</v>
      </c>
      <c r="X87" s="17">
        <f t="shared" si="25"/>
        <v>73</v>
      </c>
      <c r="Y87" s="17">
        <f t="shared" si="26"/>
        <v>4.5625</v>
      </c>
      <c r="Z87" s="17">
        <f t="shared" si="27"/>
        <v>10</v>
      </c>
      <c r="AA87" s="17" t="str">
        <f t="shared" si="28"/>
        <v/>
      </c>
      <c r="AB87" s="17">
        <v>78</v>
      </c>
      <c r="AC87" s="17">
        <f t="shared" si="29"/>
        <v>73</v>
      </c>
      <c r="AD87" s="17">
        <f t="shared" si="30"/>
        <v>4.5625</v>
      </c>
      <c r="AE87" s="17">
        <f t="shared" si="31"/>
        <v>100</v>
      </c>
      <c r="AF87" s="17" t="str">
        <f t="shared" si="32"/>
        <v/>
      </c>
      <c r="AG87" s="17">
        <v>78</v>
      </c>
      <c r="AH87" s="17">
        <f t="shared" si="33"/>
        <v>73</v>
      </c>
      <c r="AI87" s="17">
        <f t="shared" si="34"/>
        <v>4.5625</v>
      </c>
      <c r="AJ87" s="17">
        <f t="shared" si="35"/>
        <v>0</v>
      </c>
      <c r="AK87" s="17" t="str">
        <f t="shared" si="36"/>
        <v/>
      </c>
    </row>
    <row r="88" spans="12:37" x14ac:dyDescent="0.25">
      <c r="L88" s="35">
        <v>79</v>
      </c>
      <c r="M88" s="17">
        <f>IF('Bereich C '!$L$38="","nein",'Bereich C '!$L$38)</f>
        <v>5</v>
      </c>
      <c r="N88" s="17">
        <f t="shared" si="20"/>
        <v>5</v>
      </c>
      <c r="O88" s="17">
        <f t="shared" si="21"/>
        <v>74</v>
      </c>
      <c r="P88" s="17">
        <f t="shared" si="22"/>
        <v>13.875</v>
      </c>
      <c r="Q88" s="17">
        <f t="shared" si="23"/>
        <v>20</v>
      </c>
      <c r="R88" s="17" t="str">
        <f t="shared" si="19"/>
        <v/>
      </c>
      <c r="S88" s="17"/>
      <c r="T88" s="17"/>
      <c r="U88" s="17">
        <v>79</v>
      </c>
      <c r="V88" s="17">
        <f>'Bereich B '!$L$37</f>
        <v>5</v>
      </c>
      <c r="W88" s="17">
        <f t="shared" si="24"/>
        <v>5</v>
      </c>
      <c r="X88" s="17">
        <f t="shared" si="25"/>
        <v>74</v>
      </c>
      <c r="Y88" s="17">
        <f t="shared" si="26"/>
        <v>4.625</v>
      </c>
      <c r="Z88" s="17">
        <f t="shared" si="27"/>
        <v>10</v>
      </c>
      <c r="AA88" s="17" t="str">
        <f t="shared" si="28"/>
        <v/>
      </c>
      <c r="AB88" s="17">
        <v>79</v>
      </c>
      <c r="AC88" s="17">
        <f t="shared" si="29"/>
        <v>74</v>
      </c>
      <c r="AD88" s="17">
        <f t="shared" si="30"/>
        <v>4.625</v>
      </c>
      <c r="AE88" s="17">
        <f t="shared" si="31"/>
        <v>100</v>
      </c>
      <c r="AF88" s="17" t="str">
        <f t="shared" si="32"/>
        <v/>
      </c>
      <c r="AG88" s="17">
        <v>79</v>
      </c>
      <c r="AH88" s="17">
        <f t="shared" si="33"/>
        <v>74</v>
      </c>
      <c r="AI88" s="17">
        <f t="shared" si="34"/>
        <v>4.625</v>
      </c>
      <c r="AJ88" s="17">
        <f t="shared" si="35"/>
        <v>0</v>
      </c>
      <c r="AK88" s="17" t="str">
        <f t="shared" si="36"/>
        <v/>
      </c>
    </row>
    <row r="89" spans="12:37" x14ac:dyDescent="0.25">
      <c r="L89" s="35">
        <v>80</v>
      </c>
      <c r="M89" s="17">
        <f>IF('Bereich C '!$L$38="","nein",'Bereich C '!$L$38)</f>
        <v>5</v>
      </c>
      <c r="N89" s="17">
        <f t="shared" si="20"/>
        <v>5</v>
      </c>
      <c r="O89" s="17">
        <f t="shared" si="21"/>
        <v>75</v>
      </c>
      <c r="P89" s="17">
        <f t="shared" si="22"/>
        <v>14.0625</v>
      </c>
      <c r="Q89" s="17">
        <f t="shared" si="23"/>
        <v>20</v>
      </c>
      <c r="R89" s="17" t="str">
        <f t="shared" si="19"/>
        <v/>
      </c>
      <c r="S89" s="17"/>
      <c r="T89" s="17"/>
      <c r="U89" s="17">
        <v>80</v>
      </c>
      <c r="V89" s="17">
        <f>'Bereich B '!$L$37</f>
        <v>5</v>
      </c>
      <c r="W89" s="17">
        <f t="shared" si="24"/>
        <v>5</v>
      </c>
      <c r="X89" s="17">
        <f t="shared" si="25"/>
        <v>75</v>
      </c>
      <c r="Y89" s="17">
        <f t="shared" si="26"/>
        <v>4.6875</v>
      </c>
      <c r="Z89" s="17">
        <f t="shared" si="27"/>
        <v>10</v>
      </c>
      <c r="AA89" s="17" t="str">
        <f t="shared" si="28"/>
        <v/>
      </c>
      <c r="AB89" s="17">
        <v>80</v>
      </c>
      <c r="AC89" s="17">
        <f t="shared" si="29"/>
        <v>75</v>
      </c>
      <c r="AD89" s="17">
        <f t="shared" si="30"/>
        <v>4.6875</v>
      </c>
      <c r="AE89" s="17">
        <f t="shared" si="31"/>
        <v>100</v>
      </c>
      <c r="AF89" s="17" t="str">
        <f t="shared" si="32"/>
        <v/>
      </c>
      <c r="AG89" s="17">
        <v>80</v>
      </c>
      <c r="AH89" s="17">
        <f t="shared" si="33"/>
        <v>75</v>
      </c>
      <c r="AI89" s="17">
        <f t="shared" si="34"/>
        <v>4.6875</v>
      </c>
      <c r="AJ89" s="17">
        <f t="shared" si="35"/>
        <v>0</v>
      </c>
      <c r="AK89" s="17" t="str">
        <f t="shared" si="36"/>
        <v/>
      </c>
    </row>
    <row r="90" spans="12:37" x14ac:dyDescent="0.25">
      <c r="L90" s="35">
        <v>81</v>
      </c>
      <c r="M90" s="17">
        <f>IF('Bereich C '!$L$38="","nein",'Bereich C '!$L$38)</f>
        <v>5</v>
      </c>
      <c r="N90" s="17">
        <f t="shared" si="20"/>
        <v>5</v>
      </c>
      <c r="O90" s="17">
        <f t="shared" si="21"/>
        <v>76</v>
      </c>
      <c r="P90" s="17">
        <f t="shared" si="22"/>
        <v>14.25</v>
      </c>
      <c r="Q90" s="17">
        <f t="shared" si="23"/>
        <v>20</v>
      </c>
      <c r="R90" s="17" t="str">
        <f t="shared" si="19"/>
        <v/>
      </c>
      <c r="S90" s="17"/>
      <c r="T90" s="17"/>
      <c r="U90" s="17">
        <v>81</v>
      </c>
      <c r="V90" s="17">
        <f>'Bereich B '!$L$37</f>
        <v>5</v>
      </c>
      <c r="W90" s="17">
        <f t="shared" si="24"/>
        <v>5</v>
      </c>
      <c r="X90" s="17">
        <f t="shared" si="25"/>
        <v>76</v>
      </c>
      <c r="Y90" s="17">
        <f t="shared" si="26"/>
        <v>4.75</v>
      </c>
      <c r="Z90" s="17">
        <f t="shared" si="27"/>
        <v>10</v>
      </c>
      <c r="AA90" s="17" t="str">
        <f t="shared" si="28"/>
        <v/>
      </c>
      <c r="AB90" s="17">
        <v>81</v>
      </c>
      <c r="AC90" s="17">
        <f t="shared" si="29"/>
        <v>76</v>
      </c>
      <c r="AD90" s="17">
        <f t="shared" si="30"/>
        <v>4.75</v>
      </c>
      <c r="AE90" s="17">
        <f t="shared" si="31"/>
        <v>100</v>
      </c>
      <c r="AF90" s="17" t="str">
        <f t="shared" si="32"/>
        <v/>
      </c>
      <c r="AG90" s="17">
        <v>81</v>
      </c>
      <c r="AH90" s="17">
        <f t="shared" si="33"/>
        <v>76</v>
      </c>
      <c r="AI90" s="17">
        <f t="shared" si="34"/>
        <v>4.75</v>
      </c>
      <c r="AJ90" s="17">
        <f t="shared" si="35"/>
        <v>0</v>
      </c>
      <c r="AK90" s="17" t="str">
        <f t="shared" si="36"/>
        <v/>
      </c>
    </row>
    <row r="91" spans="12:37" x14ac:dyDescent="0.25">
      <c r="L91" s="35">
        <v>82</v>
      </c>
      <c r="M91" s="17">
        <f>IF('Bereich C '!$L$38="","nein",'Bereich C '!$L$38)</f>
        <v>5</v>
      </c>
      <c r="N91" s="17">
        <f t="shared" si="20"/>
        <v>5</v>
      </c>
      <c r="O91" s="17">
        <f t="shared" si="21"/>
        <v>77</v>
      </c>
      <c r="P91" s="17">
        <f t="shared" si="22"/>
        <v>14.4375</v>
      </c>
      <c r="Q91" s="17">
        <f t="shared" si="23"/>
        <v>20</v>
      </c>
      <c r="R91" s="17" t="str">
        <f t="shared" si="19"/>
        <v/>
      </c>
      <c r="S91" s="17"/>
      <c r="T91" s="17"/>
      <c r="U91" s="17">
        <v>82</v>
      </c>
      <c r="V91" s="17">
        <f>'Bereich B '!$L$37</f>
        <v>5</v>
      </c>
      <c r="W91" s="17">
        <f t="shared" si="24"/>
        <v>5</v>
      </c>
      <c r="X91" s="17">
        <f t="shared" si="25"/>
        <v>77</v>
      </c>
      <c r="Y91" s="17">
        <f t="shared" si="26"/>
        <v>4.8125</v>
      </c>
      <c r="Z91" s="17">
        <f t="shared" si="27"/>
        <v>10</v>
      </c>
      <c r="AA91" s="17" t="str">
        <f t="shared" si="28"/>
        <v/>
      </c>
      <c r="AB91" s="17">
        <v>82</v>
      </c>
      <c r="AC91" s="17">
        <f t="shared" si="29"/>
        <v>77</v>
      </c>
      <c r="AD91" s="17">
        <f t="shared" si="30"/>
        <v>4.8125</v>
      </c>
      <c r="AE91" s="17">
        <f t="shared" si="31"/>
        <v>100</v>
      </c>
      <c r="AF91" s="17" t="str">
        <f t="shared" si="32"/>
        <v/>
      </c>
      <c r="AG91" s="17">
        <v>82</v>
      </c>
      <c r="AH91" s="17">
        <f t="shared" si="33"/>
        <v>77</v>
      </c>
      <c r="AI91" s="17">
        <f t="shared" si="34"/>
        <v>4.8125</v>
      </c>
      <c r="AJ91" s="17">
        <f t="shared" si="35"/>
        <v>0</v>
      </c>
      <c r="AK91" s="17" t="str">
        <f t="shared" si="36"/>
        <v/>
      </c>
    </row>
    <row r="92" spans="12:37" x14ac:dyDescent="0.25">
      <c r="L92" s="35">
        <v>83</v>
      </c>
      <c r="M92" s="17">
        <f>IF('Bereich C '!$L$38="","nein",'Bereich C '!$L$38)</f>
        <v>5</v>
      </c>
      <c r="N92" s="17">
        <f t="shared" si="20"/>
        <v>5</v>
      </c>
      <c r="O92" s="17">
        <f t="shared" si="21"/>
        <v>78</v>
      </c>
      <c r="P92" s="17">
        <f t="shared" si="22"/>
        <v>14.625</v>
      </c>
      <c r="Q92" s="17">
        <f t="shared" si="23"/>
        <v>20</v>
      </c>
      <c r="R92" s="17" t="str">
        <f t="shared" si="19"/>
        <v/>
      </c>
      <c r="S92" s="17"/>
      <c r="T92" s="17"/>
      <c r="U92" s="17">
        <v>83</v>
      </c>
      <c r="V92" s="17">
        <f>'Bereich B '!$L$37</f>
        <v>5</v>
      </c>
      <c r="W92" s="17">
        <f t="shared" si="24"/>
        <v>5</v>
      </c>
      <c r="X92" s="17">
        <f t="shared" si="25"/>
        <v>78</v>
      </c>
      <c r="Y92" s="17">
        <f t="shared" si="26"/>
        <v>4.875</v>
      </c>
      <c r="Z92" s="17">
        <f t="shared" si="27"/>
        <v>10</v>
      </c>
      <c r="AA92" s="17" t="str">
        <f t="shared" si="28"/>
        <v/>
      </c>
      <c r="AB92" s="17">
        <v>83</v>
      </c>
      <c r="AC92" s="17">
        <f t="shared" si="29"/>
        <v>78</v>
      </c>
      <c r="AD92" s="17">
        <f t="shared" si="30"/>
        <v>4.875</v>
      </c>
      <c r="AE92" s="17">
        <f t="shared" si="31"/>
        <v>100</v>
      </c>
      <c r="AF92" s="17" t="str">
        <f t="shared" si="32"/>
        <v/>
      </c>
      <c r="AG92" s="17">
        <v>83</v>
      </c>
      <c r="AH92" s="17">
        <f t="shared" si="33"/>
        <v>78</v>
      </c>
      <c r="AI92" s="17">
        <f t="shared" si="34"/>
        <v>4.875</v>
      </c>
      <c r="AJ92" s="17">
        <f t="shared" si="35"/>
        <v>0</v>
      </c>
      <c r="AK92" s="17" t="str">
        <f t="shared" si="36"/>
        <v/>
      </c>
    </row>
    <row r="93" spans="12:37" x14ac:dyDescent="0.25">
      <c r="L93" s="35">
        <v>84</v>
      </c>
      <c r="M93" s="17">
        <f>IF('Bereich C '!$L$38="","nein",'Bereich C '!$L$38)</f>
        <v>5</v>
      </c>
      <c r="N93" s="17">
        <f t="shared" si="20"/>
        <v>5</v>
      </c>
      <c r="O93" s="17">
        <f t="shared" si="21"/>
        <v>79</v>
      </c>
      <c r="P93" s="17">
        <f t="shared" si="22"/>
        <v>14.8125</v>
      </c>
      <c r="Q93" s="17">
        <f t="shared" si="23"/>
        <v>20</v>
      </c>
      <c r="R93" s="17" t="str">
        <f t="shared" si="19"/>
        <v/>
      </c>
      <c r="S93" s="17"/>
      <c r="T93" s="17"/>
      <c r="U93" s="17">
        <v>84</v>
      </c>
      <c r="V93" s="17">
        <f>'Bereich B '!$L$37</f>
        <v>5</v>
      </c>
      <c r="W93" s="17">
        <f t="shared" si="24"/>
        <v>5</v>
      </c>
      <c r="X93" s="17">
        <f t="shared" si="25"/>
        <v>79</v>
      </c>
      <c r="Y93" s="17">
        <f t="shared" si="26"/>
        <v>4.9375</v>
      </c>
      <c r="Z93" s="17">
        <f t="shared" si="27"/>
        <v>10</v>
      </c>
      <c r="AA93" s="17" t="str">
        <f t="shared" si="28"/>
        <v/>
      </c>
      <c r="AB93" s="17">
        <v>84</v>
      </c>
      <c r="AC93" s="17">
        <f t="shared" si="29"/>
        <v>79</v>
      </c>
      <c r="AD93" s="17">
        <f t="shared" si="30"/>
        <v>4.9375</v>
      </c>
      <c r="AE93" s="17">
        <f t="shared" si="31"/>
        <v>100</v>
      </c>
      <c r="AF93" s="17" t="str">
        <f t="shared" si="32"/>
        <v/>
      </c>
      <c r="AG93" s="17">
        <v>84</v>
      </c>
      <c r="AH93" s="17">
        <f t="shared" si="33"/>
        <v>79</v>
      </c>
      <c r="AI93" s="17">
        <f t="shared" si="34"/>
        <v>4.9375</v>
      </c>
      <c r="AJ93" s="17">
        <f t="shared" si="35"/>
        <v>0</v>
      </c>
      <c r="AK93" s="17" t="str">
        <f t="shared" si="36"/>
        <v/>
      </c>
    </row>
    <row r="94" spans="12:37" x14ac:dyDescent="0.25">
      <c r="L94" s="35">
        <v>85</v>
      </c>
      <c r="M94" s="17">
        <f>IF('Bereich C '!$L$38="","nein",'Bereich C '!$L$38)</f>
        <v>5</v>
      </c>
      <c r="N94" s="17">
        <f t="shared" si="20"/>
        <v>5</v>
      </c>
      <c r="O94" s="17">
        <f t="shared" si="21"/>
        <v>80</v>
      </c>
      <c r="P94" s="17">
        <f t="shared" si="22"/>
        <v>15</v>
      </c>
      <c r="Q94" s="17">
        <f t="shared" si="23"/>
        <v>20</v>
      </c>
      <c r="R94" s="17" t="str">
        <f t="shared" si="19"/>
        <v/>
      </c>
      <c r="S94" s="17"/>
      <c r="T94" s="17"/>
      <c r="U94" s="17">
        <v>85</v>
      </c>
      <c r="V94" s="17">
        <f>'Bereich B '!$L$37</f>
        <v>5</v>
      </c>
      <c r="W94" s="17">
        <f t="shared" si="24"/>
        <v>5</v>
      </c>
      <c r="X94" s="17">
        <f t="shared" si="25"/>
        <v>80</v>
      </c>
      <c r="Y94" s="17">
        <f t="shared" si="26"/>
        <v>5</v>
      </c>
      <c r="Z94" s="17">
        <f t="shared" si="27"/>
        <v>10</v>
      </c>
      <c r="AA94" s="17" t="str">
        <f t="shared" si="28"/>
        <v/>
      </c>
      <c r="AB94" s="17">
        <v>85</v>
      </c>
      <c r="AC94" s="17">
        <f t="shared" si="29"/>
        <v>80</v>
      </c>
      <c r="AD94" s="17">
        <f t="shared" si="30"/>
        <v>5</v>
      </c>
      <c r="AE94" s="17">
        <f t="shared" si="31"/>
        <v>100</v>
      </c>
      <c r="AF94" s="17" t="str">
        <f t="shared" si="32"/>
        <v/>
      </c>
      <c r="AG94" s="17">
        <v>85</v>
      </c>
      <c r="AH94" s="17">
        <f t="shared" si="33"/>
        <v>80</v>
      </c>
      <c r="AI94" s="17">
        <f t="shared" si="34"/>
        <v>5</v>
      </c>
      <c r="AJ94" s="17">
        <f t="shared" si="35"/>
        <v>0</v>
      </c>
      <c r="AK94" s="17" t="str">
        <f t="shared" si="36"/>
        <v/>
      </c>
    </row>
    <row r="95" spans="12:37" x14ac:dyDescent="0.25">
      <c r="L95" s="35">
        <v>86</v>
      </c>
      <c r="M95" s="17">
        <f>IF('Bereich C '!$L$38="","nein",'Bereich C '!$L$38)</f>
        <v>5</v>
      </c>
      <c r="N95" s="17">
        <f t="shared" si="20"/>
        <v>5</v>
      </c>
      <c r="O95" s="17">
        <f t="shared" si="21"/>
        <v>81</v>
      </c>
      <c r="P95" s="17">
        <f t="shared" si="22"/>
        <v>15.1875</v>
      </c>
      <c r="Q95" s="17">
        <f t="shared" si="23"/>
        <v>20</v>
      </c>
      <c r="R95" s="17" t="str">
        <f t="shared" si="19"/>
        <v/>
      </c>
      <c r="S95" s="17"/>
      <c r="T95" s="17"/>
      <c r="U95" s="17">
        <v>86</v>
      </c>
      <c r="V95" s="17">
        <f>'Bereich B '!$L$37</f>
        <v>5</v>
      </c>
      <c r="W95" s="17">
        <f t="shared" si="24"/>
        <v>5</v>
      </c>
      <c r="X95" s="17">
        <f t="shared" si="25"/>
        <v>81</v>
      </c>
      <c r="Y95" s="17">
        <f t="shared" si="26"/>
        <v>5.0625</v>
      </c>
      <c r="Z95" s="17">
        <f t="shared" si="27"/>
        <v>10</v>
      </c>
      <c r="AA95" s="17" t="str">
        <f t="shared" si="28"/>
        <v/>
      </c>
      <c r="AB95" s="17">
        <v>86</v>
      </c>
      <c r="AC95" s="17">
        <f t="shared" si="29"/>
        <v>81</v>
      </c>
      <c r="AD95" s="17">
        <f t="shared" si="30"/>
        <v>5.0625</v>
      </c>
      <c r="AE95" s="17">
        <f t="shared" si="31"/>
        <v>100</v>
      </c>
      <c r="AF95" s="17" t="str">
        <f t="shared" si="32"/>
        <v/>
      </c>
      <c r="AG95" s="17">
        <v>86</v>
      </c>
      <c r="AH95" s="17">
        <f t="shared" si="33"/>
        <v>81</v>
      </c>
      <c r="AI95" s="17">
        <f t="shared" si="34"/>
        <v>5.0625</v>
      </c>
      <c r="AJ95" s="17">
        <f t="shared" si="35"/>
        <v>0</v>
      </c>
      <c r="AK95" s="17" t="str">
        <f t="shared" si="36"/>
        <v/>
      </c>
    </row>
    <row r="96" spans="12:37" x14ac:dyDescent="0.25">
      <c r="L96" s="35">
        <v>87</v>
      </c>
      <c r="M96" s="17">
        <f>IF('Bereich C '!$L$38="","nein",'Bereich C '!$L$38)</f>
        <v>5</v>
      </c>
      <c r="N96" s="17">
        <f t="shared" si="20"/>
        <v>5</v>
      </c>
      <c r="O96" s="17">
        <f t="shared" si="21"/>
        <v>82</v>
      </c>
      <c r="P96" s="17">
        <f t="shared" si="22"/>
        <v>15.375</v>
      </c>
      <c r="Q96" s="17">
        <f t="shared" si="23"/>
        <v>20</v>
      </c>
      <c r="R96" s="17" t="str">
        <f t="shared" si="19"/>
        <v/>
      </c>
      <c r="S96" s="17"/>
      <c r="T96" s="17"/>
      <c r="U96" s="17">
        <v>87</v>
      </c>
      <c r="V96" s="17">
        <f>'Bereich B '!$L$37</f>
        <v>5</v>
      </c>
      <c r="W96" s="17">
        <f t="shared" si="24"/>
        <v>5</v>
      </c>
      <c r="X96" s="17">
        <f t="shared" si="25"/>
        <v>82</v>
      </c>
      <c r="Y96" s="17">
        <f t="shared" si="26"/>
        <v>5.125</v>
      </c>
      <c r="Z96" s="17">
        <f t="shared" si="27"/>
        <v>10</v>
      </c>
      <c r="AA96" s="17" t="str">
        <f t="shared" si="28"/>
        <v/>
      </c>
      <c r="AB96" s="17">
        <v>87</v>
      </c>
      <c r="AC96" s="17">
        <f t="shared" si="29"/>
        <v>82</v>
      </c>
      <c r="AD96" s="17">
        <f t="shared" si="30"/>
        <v>5.125</v>
      </c>
      <c r="AE96" s="17">
        <f t="shared" si="31"/>
        <v>100</v>
      </c>
      <c r="AF96" s="17" t="str">
        <f t="shared" si="32"/>
        <v/>
      </c>
      <c r="AG96" s="17">
        <v>87</v>
      </c>
      <c r="AH96" s="17">
        <f t="shared" si="33"/>
        <v>82</v>
      </c>
      <c r="AI96" s="17">
        <f t="shared" si="34"/>
        <v>5.125</v>
      </c>
      <c r="AJ96" s="17">
        <f t="shared" si="35"/>
        <v>0</v>
      </c>
      <c r="AK96" s="17" t="str">
        <f t="shared" si="36"/>
        <v/>
      </c>
    </row>
    <row r="97" spans="12:37" x14ac:dyDescent="0.25">
      <c r="L97" s="35">
        <v>88</v>
      </c>
      <c r="M97" s="17">
        <f>IF('Bereich C '!$L$38="","nein",'Bereich C '!$L$38)</f>
        <v>5</v>
      </c>
      <c r="N97" s="17">
        <f t="shared" si="20"/>
        <v>5</v>
      </c>
      <c r="O97" s="17">
        <f t="shared" si="21"/>
        <v>83</v>
      </c>
      <c r="P97" s="17">
        <f t="shared" si="22"/>
        <v>15.5625</v>
      </c>
      <c r="Q97" s="17">
        <f t="shared" si="23"/>
        <v>20</v>
      </c>
      <c r="R97" s="17" t="str">
        <f t="shared" si="19"/>
        <v/>
      </c>
      <c r="S97" s="17"/>
      <c r="T97" s="17"/>
      <c r="U97" s="17">
        <v>88</v>
      </c>
      <c r="V97" s="17">
        <f>'Bereich B '!$L$37</f>
        <v>5</v>
      </c>
      <c r="W97" s="17">
        <f t="shared" si="24"/>
        <v>5</v>
      </c>
      <c r="X97" s="17">
        <f t="shared" si="25"/>
        <v>83</v>
      </c>
      <c r="Y97" s="17">
        <f t="shared" si="26"/>
        <v>5.1875</v>
      </c>
      <c r="Z97" s="17">
        <f t="shared" si="27"/>
        <v>10</v>
      </c>
      <c r="AA97" s="17" t="str">
        <f t="shared" si="28"/>
        <v/>
      </c>
      <c r="AB97" s="17">
        <v>88</v>
      </c>
      <c r="AC97" s="17">
        <f t="shared" si="29"/>
        <v>83</v>
      </c>
      <c r="AD97" s="17">
        <f t="shared" si="30"/>
        <v>5.1875</v>
      </c>
      <c r="AE97" s="17">
        <f t="shared" si="31"/>
        <v>100</v>
      </c>
      <c r="AF97" s="17" t="str">
        <f t="shared" si="32"/>
        <v/>
      </c>
      <c r="AG97" s="17">
        <v>88</v>
      </c>
      <c r="AH97" s="17">
        <f t="shared" si="33"/>
        <v>83</v>
      </c>
      <c r="AI97" s="17">
        <f t="shared" si="34"/>
        <v>5.1875</v>
      </c>
      <c r="AJ97" s="17">
        <f t="shared" si="35"/>
        <v>0</v>
      </c>
      <c r="AK97" s="17" t="str">
        <f t="shared" si="36"/>
        <v/>
      </c>
    </row>
    <row r="98" spans="12:37" x14ac:dyDescent="0.25">
      <c r="L98" s="35">
        <v>89</v>
      </c>
      <c r="M98" s="17">
        <f>IF('Bereich C '!$L$38="","nein",'Bereich C '!$L$38)</f>
        <v>5</v>
      </c>
      <c r="N98" s="17">
        <f t="shared" si="20"/>
        <v>5</v>
      </c>
      <c r="O98" s="17">
        <f t="shared" si="21"/>
        <v>84</v>
      </c>
      <c r="P98" s="17">
        <f t="shared" si="22"/>
        <v>15.75</v>
      </c>
      <c r="Q98" s="17">
        <f t="shared" si="23"/>
        <v>20</v>
      </c>
      <c r="R98" s="17" t="str">
        <f t="shared" si="19"/>
        <v/>
      </c>
      <c r="S98" s="17"/>
      <c r="T98" s="17"/>
      <c r="U98" s="17">
        <v>89</v>
      </c>
      <c r="V98" s="17">
        <f>'Bereich B '!$L$37</f>
        <v>5</v>
      </c>
      <c r="W98" s="17">
        <f t="shared" si="24"/>
        <v>5</v>
      </c>
      <c r="X98" s="17">
        <f t="shared" si="25"/>
        <v>84</v>
      </c>
      <c r="Y98" s="17">
        <f t="shared" si="26"/>
        <v>5.25</v>
      </c>
      <c r="Z98" s="17">
        <f t="shared" si="27"/>
        <v>10</v>
      </c>
      <c r="AA98" s="17" t="str">
        <f t="shared" si="28"/>
        <v/>
      </c>
      <c r="AB98" s="17">
        <v>89</v>
      </c>
      <c r="AC98" s="17">
        <f t="shared" si="29"/>
        <v>84</v>
      </c>
      <c r="AD98" s="17">
        <f t="shared" si="30"/>
        <v>5.25</v>
      </c>
      <c r="AE98" s="17">
        <f t="shared" si="31"/>
        <v>100</v>
      </c>
      <c r="AF98" s="17" t="str">
        <f t="shared" si="32"/>
        <v/>
      </c>
      <c r="AG98" s="17">
        <v>89</v>
      </c>
      <c r="AH98" s="17">
        <f t="shared" si="33"/>
        <v>84</v>
      </c>
      <c r="AI98" s="17">
        <f t="shared" si="34"/>
        <v>5.25</v>
      </c>
      <c r="AJ98" s="17">
        <f t="shared" si="35"/>
        <v>0</v>
      </c>
      <c r="AK98" s="17" t="str">
        <f t="shared" si="36"/>
        <v/>
      </c>
    </row>
    <row r="99" spans="12:37" x14ac:dyDescent="0.25">
      <c r="L99" s="35">
        <v>90</v>
      </c>
      <c r="M99" s="17">
        <f>IF('Bereich C '!$L$38="","nein",'Bereich C '!$L$38)</f>
        <v>5</v>
      </c>
      <c r="N99" s="17">
        <f t="shared" si="20"/>
        <v>5</v>
      </c>
      <c r="O99" s="17">
        <f t="shared" si="21"/>
        <v>85</v>
      </c>
      <c r="P99" s="17">
        <f t="shared" si="22"/>
        <v>15.9375</v>
      </c>
      <c r="Q99" s="17">
        <f t="shared" si="23"/>
        <v>20</v>
      </c>
      <c r="R99" s="17" t="str">
        <f t="shared" si="19"/>
        <v/>
      </c>
      <c r="S99" s="17"/>
      <c r="T99" s="17"/>
      <c r="U99" s="17">
        <v>90</v>
      </c>
      <c r="V99" s="17">
        <f>'Bereich B '!$L$37</f>
        <v>5</v>
      </c>
      <c r="W99" s="17">
        <f t="shared" si="24"/>
        <v>5</v>
      </c>
      <c r="X99" s="17">
        <f t="shared" si="25"/>
        <v>85</v>
      </c>
      <c r="Y99" s="17">
        <f t="shared" si="26"/>
        <v>5.3125</v>
      </c>
      <c r="Z99" s="17">
        <f t="shared" si="27"/>
        <v>10</v>
      </c>
      <c r="AA99" s="17" t="str">
        <f t="shared" si="28"/>
        <v/>
      </c>
      <c r="AB99" s="17">
        <v>90</v>
      </c>
      <c r="AC99" s="17">
        <f t="shared" si="29"/>
        <v>85</v>
      </c>
      <c r="AD99" s="17">
        <f t="shared" si="30"/>
        <v>5.3125</v>
      </c>
      <c r="AE99" s="17">
        <f t="shared" si="31"/>
        <v>100</v>
      </c>
      <c r="AF99" s="17" t="str">
        <f t="shared" si="32"/>
        <v/>
      </c>
      <c r="AG99" s="17">
        <v>90</v>
      </c>
      <c r="AH99" s="17">
        <f t="shared" si="33"/>
        <v>85</v>
      </c>
      <c r="AI99" s="17">
        <f t="shared" si="34"/>
        <v>5.3125</v>
      </c>
      <c r="AJ99" s="17">
        <f t="shared" si="35"/>
        <v>0</v>
      </c>
      <c r="AK99" s="17" t="str">
        <f t="shared" si="36"/>
        <v/>
      </c>
    </row>
    <row r="100" spans="12:37" x14ac:dyDescent="0.25">
      <c r="L100" s="35">
        <v>91</v>
      </c>
      <c r="M100" s="17">
        <f>IF('Bereich C '!$L$38="","nein",'Bereich C '!$L$38)</f>
        <v>5</v>
      </c>
      <c r="N100" s="17">
        <f t="shared" si="20"/>
        <v>5</v>
      </c>
      <c r="O100" s="17">
        <f t="shared" si="21"/>
        <v>86</v>
      </c>
      <c r="P100" s="17">
        <f t="shared" si="22"/>
        <v>16.125</v>
      </c>
      <c r="Q100" s="17">
        <f t="shared" si="23"/>
        <v>20</v>
      </c>
      <c r="R100" s="17" t="str">
        <f t="shared" si="19"/>
        <v/>
      </c>
      <c r="S100" s="17"/>
      <c r="T100" s="17"/>
      <c r="U100" s="17">
        <v>91</v>
      </c>
      <c r="V100" s="17">
        <f>'Bereich B '!$L$37</f>
        <v>5</v>
      </c>
      <c r="W100" s="17">
        <f t="shared" si="24"/>
        <v>5</v>
      </c>
      <c r="X100" s="17">
        <f t="shared" si="25"/>
        <v>86</v>
      </c>
      <c r="Y100" s="17">
        <f t="shared" si="26"/>
        <v>5.375</v>
      </c>
      <c r="Z100" s="17">
        <f t="shared" si="27"/>
        <v>10</v>
      </c>
      <c r="AA100" s="17" t="str">
        <f t="shared" si="28"/>
        <v/>
      </c>
      <c r="AB100" s="17">
        <v>91</v>
      </c>
      <c r="AC100" s="17">
        <f t="shared" si="29"/>
        <v>86</v>
      </c>
      <c r="AD100" s="17">
        <f t="shared" si="30"/>
        <v>5.375</v>
      </c>
      <c r="AE100" s="17">
        <f t="shared" si="31"/>
        <v>100</v>
      </c>
      <c r="AF100" s="17" t="str">
        <f t="shared" si="32"/>
        <v/>
      </c>
      <c r="AG100" s="17">
        <v>91</v>
      </c>
      <c r="AH100" s="17">
        <f t="shared" si="33"/>
        <v>86</v>
      </c>
      <c r="AI100" s="17">
        <f t="shared" si="34"/>
        <v>5.375</v>
      </c>
      <c r="AJ100" s="17">
        <f t="shared" si="35"/>
        <v>0</v>
      </c>
      <c r="AK100" s="17" t="str">
        <f t="shared" si="36"/>
        <v/>
      </c>
    </row>
    <row r="101" spans="12:37" x14ac:dyDescent="0.25">
      <c r="L101" s="35">
        <v>92</v>
      </c>
      <c r="M101" s="17">
        <f>IF('Bereich C '!$L$38="","nein",'Bereich C '!$L$38)</f>
        <v>5</v>
      </c>
      <c r="N101" s="17">
        <f t="shared" si="20"/>
        <v>5</v>
      </c>
      <c r="O101" s="17">
        <f t="shared" si="21"/>
        <v>87</v>
      </c>
      <c r="P101" s="17">
        <f t="shared" si="22"/>
        <v>16.3125</v>
      </c>
      <c r="Q101" s="17">
        <f t="shared" si="23"/>
        <v>20</v>
      </c>
      <c r="R101" s="17" t="str">
        <f t="shared" si="19"/>
        <v/>
      </c>
      <c r="S101" s="17"/>
      <c r="T101" s="17"/>
      <c r="U101" s="17">
        <v>92</v>
      </c>
      <c r="V101" s="17">
        <f>'Bereich B '!$L$37</f>
        <v>5</v>
      </c>
      <c r="W101" s="17">
        <f t="shared" si="24"/>
        <v>5</v>
      </c>
      <c r="X101" s="17">
        <f t="shared" si="25"/>
        <v>87</v>
      </c>
      <c r="Y101" s="17">
        <f t="shared" si="26"/>
        <v>5.4375</v>
      </c>
      <c r="Z101" s="17">
        <f t="shared" si="27"/>
        <v>10</v>
      </c>
      <c r="AA101" s="17" t="str">
        <f t="shared" si="28"/>
        <v/>
      </c>
      <c r="AB101" s="17">
        <v>92</v>
      </c>
      <c r="AC101" s="17">
        <f t="shared" si="29"/>
        <v>87</v>
      </c>
      <c r="AD101" s="17">
        <f t="shared" si="30"/>
        <v>5.4375</v>
      </c>
      <c r="AE101" s="17">
        <f t="shared" si="31"/>
        <v>100</v>
      </c>
      <c r="AF101" s="17" t="str">
        <f t="shared" si="32"/>
        <v/>
      </c>
      <c r="AG101" s="17">
        <v>92</v>
      </c>
      <c r="AH101" s="17">
        <f t="shared" si="33"/>
        <v>87</v>
      </c>
      <c r="AI101" s="17">
        <f t="shared" si="34"/>
        <v>5.4375</v>
      </c>
      <c r="AJ101" s="17">
        <f t="shared" si="35"/>
        <v>0</v>
      </c>
      <c r="AK101" s="17" t="str">
        <f t="shared" si="36"/>
        <v/>
      </c>
    </row>
    <row r="102" spans="12:37" x14ac:dyDescent="0.25">
      <c r="L102" s="35">
        <v>93</v>
      </c>
      <c r="M102" s="17">
        <f>IF('Bereich C '!$L$38="","nein",'Bereich C '!$L$38)</f>
        <v>5</v>
      </c>
      <c r="N102" s="17">
        <f t="shared" si="20"/>
        <v>5</v>
      </c>
      <c r="O102" s="17">
        <f t="shared" si="21"/>
        <v>88</v>
      </c>
      <c r="P102" s="17">
        <f t="shared" si="22"/>
        <v>16.5</v>
      </c>
      <c r="Q102" s="17">
        <f t="shared" si="23"/>
        <v>20</v>
      </c>
      <c r="R102" s="17" t="str">
        <f t="shared" si="19"/>
        <v/>
      </c>
      <c r="S102" s="17"/>
      <c r="T102" s="17"/>
      <c r="U102" s="17">
        <v>93</v>
      </c>
      <c r="V102" s="17">
        <f>'Bereich B '!$L$37</f>
        <v>5</v>
      </c>
      <c r="W102" s="17">
        <f t="shared" si="24"/>
        <v>5</v>
      </c>
      <c r="X102" s="17">
        <f t="shared" si="25"/>
        <v>88</v>
      </c>
      <c r="Y102" s="17">
        <f t="shared" si="26"/>
        <v>5.5</v>
      </c>
      <c r="Z102" s="17">
        <f t="shared" si="27"/>
        <v>10</v>
      </c>
      <c r="AA102" s="17" t="str">
        <f t="shared" si="28"/>
        <v/>
      </c>
      <c r="AB102" s="17">
        <v>93</v>
      </c>
      <c r="AC102" s="17">
        <f t="shared" si="29"/>
        <v>88</v>
      </c>
      <c r="AD102" s="17">
        <f t="shared" si="30"/>
        <v>5.5</v>
      </c>
      <c r="AE102" s="17">
        <f t="shared" si="31"/>
        <v>100</v>
      </c>
      <c r="AF102" s="17" t="str">
        <f t="shared" si="32"/>
        <v/>
      </c>
      <c r="AG102" s="17">
        <v>93</v>
      </c>
      <c r="AH102" s="17">
        <f t="shared" si="33"/>
        <v>88</v>
      </c>
      <c r="AI102" s="17">
        <f t="shared" si="34"/>
        <v>5.5</v>
      </c>
      <c r="AJ102" s="17">
        <f t="shared" si="35"/>
        <v>0</v>
      </c>
      <c r="AK102" s="17" t="str">
        <f t="shared" si="36"/>
        <v/>
      </c>
    </row>
    <row r="103" spans="12:37" x14ac:dyDescent="0.25">
      <c r="L103" s="35">
        <v>94</v>
      </c>
      <c r="M103" s="17">
        <f>IF('Bereich C '!$L$38="","nein",'Bereich C '!$L$38)</f>
        <v>5</v>
      </c>
      <c r="N103" s="17">
        <f t="shared" si="20"/>
        <v>5</v>
      </c>
      <c r="O103" s="17">
        <f t="shared" si="21"/>
        <v>89</v>
      </c>
      <c r="P103" s="17">
        <f t="shared" si="22"/>
        <v>16.6875</v>
      </c>
      <c r="Q103" s="17">
        <f t="shared" si="23"/>
        <v>20</v>
      </c>
      <c r="R103" s="17" t="str">
        <f t="shared" si="19"/>
        <v/>
      </c>
      <c r="S103" s="17"/>
      <c r="T103" s="17"/>
      <c r="U103" s="17">
        <v>94</v>
      </c>
      <c r="V103" s="17">
        <f>'Bereich B '!$L$37</f>
        <v>5</v>
      </c>
      <c r="W103" s="17">
        <f t="shared" si="24"/>
        <v>5</v>
      </c>
      <c r="X103" s="17">
        <f t="shared" si="25"/>
        <v>89</v>
      </c>
      <c r="Y103" s="17">
        <f t="shared" si="26"/>
        <v>5.5625</v>
      </c>
      <c r="Z103" s="17">
        <f t="shared" si="27"/>
        <v>10</v>
      </c>
      <c r="AA103" s="17" t="str">
        <f t="shared" si="28"/>
        <v/>
      </c>
      <c r="AB103" s="17">
        <v>94</v>
      </c>
      <c r="AC103" s="17">
        <f t="shared" si="29"/>
        <v>89</v>
      </c>
      <c r="AD103" s="17">
        <f t="shared" si="30"/>
        <v>5.5625</v>
      </c>
      <c r="AE103" s="17">
        <f t="shared" si="31"/>
        <v>100</v>
      </c>
      <c r="AF103" s="17" t="str">
        <f t="shared" si="32"/>
        <v/>
      </c>
      <c r="AG103" s="17">
        <v>94</v>
      </c>
      <c r="AH103" s="17">
        <f t="shared" si="33"/>
        <v>89</v>
      </c>
      <c r="AI103" s="17">
        <f t="shared" si="34"/>
        <v>5.5625</v>
      </c>
      <c r="AJ103" s="17">
        <f t="shared" si="35"/>
        <v>0</v>
      </c>
      <c r="AK103" s="17" t="str">
        <f t="shared" si="36"/>
        <v/>
      </c>
    </row>
    <row r="104" spans="12:37" x14ac:dyDescent="0.25">
      <c r="L104" s="35">
        <v>95</v>
      </c>
      <c r="M104" s="17">
        <f>IF('Bereich C '!$L$38="","nein",'Bereich C '!$L$38)</f>
        <v>5</v>
      </c>
      <c r="N104" s="17">
        <f t="shared" si="20"/>
        <v>5</v>
      </c>
      <c r="O104" s="17">
        <f t="shared" si="21"/>
        <v>90</v>
      </c>
      <c r="P104" s="17">
        <f t="shared" si="22"/>
        <v>16.875</v>
      </c>
      <c r="Q104" s="17">
        <f t="shared" si="23"/>
        <v>20</v>
      </c>
      <c r="R104" s="17" t="str">
        <f t="shared" si="19"/>
        <v/>
      </c>
      <c r="S104" s="17"/>
      <c r="T104" s="17"/>
      <c r="U104" s="17">
        <v>95</v>
      </c>
      <c r="V104" s="17">
        <f>'Bereich B '!$L$37</f>
        <v>5</v>
      </c>
      <c r="W104" s="17">
        <f t="shared" si="24"/>
        <v>5</v>
      </c>
      <c r="X104" s="17">
        <f t="shared" si="25"/>
        <v>90</v>
      </c>
      <c r="Y104" s="17">
        <f t="shared" si="26"/>
        <v>5.625</v>
      </c>
      <c r="Z104" s="17">
        <f t="shared" si="27"/>
        <v>10</v>
      </c>
      <c r="AA104" s="17" t="str">
        <f t="shared" si="28"/>
        <v/>
      </c>
      <c r="AB104" s="17">
        <v>95</v>
      </c>
      <c r="AC104" s="17">
        <f t="shared" si="29"/>
        <v>90</v>
      </c>
      <c r="AD104" s="17">
        <f t="shared" si="30"/>
        <v>5.625</v>
      </c>
      <c r="AE104" s="17">
        <f t="shared" si="31"/>
        <v>100</v>
      </c>
      <c r="AF104" s="17" t="str">
        <f t="shared" si="32"/>
        <v/>
      </c>
      <c r="AG104" s="17">
        <v>95</v>
      </c>
      <c r="AH104" s="17">
        <f t="shared" si="33"/>
        <v>90</v>
      </c>
      <c r="AI104" s="17">
        <f t="shared" si="34"/>
        <v>5.625</v>
      </c>
      <c r="AJ104" s="17">
        <f t="shared" si="35"/>
        <v>0</v>
      </c>
      <c r="AK104" s="17" t="str">
        <f t="shared" si="36"/>
        <v/>
      </c>
    </row>
    <row r="105" spans="12:37" x14ac:dyDescent="0.25">
      <c r="L105" s="35">
        <v>96</v>
      </c>
      <c r="M105" s="17">
        <f>IF('Bereich C '!$L$38="","nein",'Bereich C '!$L$38)</f>
        <v>5</v>
      </c>
      <c r="N105" s="17">
        <f t="shared" si="20"/>
        <v>5</v>
      </c>
      <c r="O105" s="17">
        <f t="shared" si="21"/>
        <v>91</v>
      </c>
      <c r="P105" s="17">
        <f t="shared" si="22"/>
        <v>17.0625</v>
      </c>
      <c r="Q105" s="17">
        <f t="shared" si="23"/>
        <v>20</v>
      </c>
      <c r="R105" s="17" t="str">
        <f t="shared" ref="R105:R109" si="37">IF(Q105=L105,P105+N105,"")</f>
        <v/>
      </c>
      <c r="S105" s="17"/>
      <c r="T105" s="17"/>
      <c r="U105" s="17">
        <v>96</v>
      </c>
      <c r="V105" s="17">
        <f>'Bereich B '!$L$37</f>
        <v>5</v>
      </c>
      <c r="W105" s="17">
        <f t="shared" si="24"/>
        <v>5</v>
      </c>
      <c r="X105" s="17">
        <f t="shared" si="25"/>
        <v>91</v>
      </c>
      <c r="Y105" s="17">
        <f t="shared" si="26"/>
        <v>5.6875</v>
      </c>
      <c r="Z105" s="17">
        <f t="shared" si="27"/>
        <v>10</v>
      </c>
      <c r="AA105" s="17" t="str">
        <f t="shared" si="28"/>
        <v/>
      </c>
      <c r="AB105" s="17">
        <v>96</v>
      </c>
      <c r="AC105" s="17">
        <f t="shared" si="29"/>
        <v>91</v>
      </c>
      <c r="AD105" s="17">
        <f t="shared" si="30"/>
        <v>5.6875</v>
      </c>
      <c r="AE105" s="17">
        <f t="shared" si="31"/>
        <v>100</v>
      </c>
      <c r="AF105" s="17" t="str">
        <f t="shared" si="32"/>
        <v/>
      </c>
      <c r="AG105" s="17">
        <v>96</v>
      </c>
      <c r="AH105" s="17">
        <f t="shared" si="33"/>
        <v>91</v>
      </c>
      <c r="AI105" s="17">
        <f t="shared" si="34"/>
        <v>5.6875</v>
      </c>
      <c r="AJ105" s="17">
        <f t="shared" si="35"/>
        <v>0</v>
      </c>
      <c r="AK105" s="17" t="str">
        <f t="shared" si="36"/>
        <v/>
      </c>
    </row>
    <row r="106" spans="12:37" x14ac:dyDescent="0.25">
      <c r="L106" s="35">
        <v>97</v>
      </c>
      <c r="M106" s="17">
        <f>IF('Bereich C '!$L$38="","nein",'Bereich C '!$L$38)</f>
        <v>5</v>
      </c>
      <c r="N106" s="17">
        <f t="shared" si="20"/>
        <v>5</v>
      </c>
      <c r="O106" s="17">
        <f t="shared" si="21"/>
        <v>92</v>
      </c>
      <c r="P106" s="17">
        <f t="shared" si="22"/>
        <v>17.25</v>
      </c>
      <c r="Q106" s="17">
        <f t="shared" si="23"/>
        <v>20</v>
      </c>
      <c r="R106" s="17" t="str">
        <f t="shared" si="37"/>
        <v/>
      </c>
      <c r="S106" s="17"/>
      <c r="T106" s="17"/>
      <c r="U106" s="17">
        <v>97</v>
      </c>
      <c r="V106" s="17">
        <f>'Bereich B '!$L$37</f>
        <v>5</v>
      </c>
      <c r="W106" s="17">
        <f t="shared" si="24"/>
        <v>5</v>
      </c>
      <c r="X106" s="17">
        <f t="shared" si="25"/>
        <v>92</v>
      </c>
      <c r="Y106" s="17">
        <f t="shared" si="26"/>
        <v>5.75</v>
      </c>
      <c r="Z106" s="17">
        <f t="shared" si="27"/>
        <v>10</v>
      </c>
      <c r="AA106" s="17" t="str">
        <f t="shared" si="28"/>
        <v/>
      </c>
      <c r="AB106" s="17">
        <v>97</v>
      </c>
      <c r="AC106" s="17">
        <f t="shared" si="29"/>
        <v>92</v>
      </c>
      <c r="AD106" s="17">
        <f t="shared" si="30"/>
        <v>5.75</v>
      </c>
      <c r="AE106" s="17">
        <f t="shared" si="31"/>
        <v>100</v>
      </c>
      <c r="AF106" s="17" t="str">
        <f t="shared" si="32"/>
        <v/>
      </c>
      <c r="AG106" s="17">
        <v>97</v>
      </c>
      <c r="AH106" s="17">
        <f t="shared" si="33"/>
        <v>92</v>
      </c>
      <c r="AI106" s="17">
        <f t="shared" si="34"/>
        <v>5.75</v>
      </c>
      <c r="AJ106" s="17">
        <f t="shared" si="35"/>
        <v>0</v>
      </c>
      <c r="AK106" s="17" t="str">
        <f t="shared" si="36"/>
        <v/>
      </c>
    </row>
    <row r="107" spans="12:37" x14ac:dyDescent="0.25">
      <c r="L107" s="35">
        <v>98</v>
      </c>
      <c r="M107" s="17">
        <f>IF('Bereich C '!$L$38="","nein",'Bereich C '!$L$38)</f>
        <v>5</v>
      </c>
      <c r="N107" s="17">
        <f t="shared" si="20"/>
        <v>5</v>
      </c>
      <c r="O107" s="17">
        <f t="shared" si="21"/>
        <v>93</v>
      </c>
      <c r="P107" s="17">
        <f t="shared" si="22"/>
        <v>17.4375</v>
      </c>
      <c r="Q107" s="17">
        <f t="shared" si="23"/>
        <v>20</v>
      </c>
      <c r="R107" s="17" t="str">
        <f t="shared" si="37"/>
        <v/>
      </c>
      <c r="S107" s="17"/>
      <c r="T107" s="17"/>
      <c r="U107" s="17">
        <v>98</v>
      </c>
      <c r="V107" s="17">
        <f>'Bereich B '!$L$37</f>
        <v>5</v>
      </c>
      <c r="W107" s="17">
        <f t="shared" si="24"/>
        <v>5</v>
      </c>
      <c r="X107" s="17">
        <f t="shared" si="25"/>
        <v>93</v>
      </c>
      <c r="Y107" s="17">
        <f t="shared" si="26"/>
        <v>5.8125</v>
      </c>
      <c r="Z107" s="17">
        <f t="shared" si="27"/>
        <v>10</v>
      </c>
      <c r="AA107" s="17" t="str">
        <f t="shared" si="28"/>
        <v/>
      </c>
      <c r="AB107" s="17">
        <v>98</v>
      </c>
      <c r="AC107" s="17">
        <f t="shared" si="29"/>
        <v>93</v>
      </c>
      <c r="AD107" s="17">
        <f t="shared" si="30"/>
        <v>5.8125</v>
      </c>
      <c r="AE107" s="17">
        <f t="shared" si="31"/>
        <v>100</v>
      </c>
      <c r="AF107" s="17" t="str">
        <f t="shared" si="32"/>
        <v/>
      </c>
      <c r="AG107" s="17">
        <v>98</v>
      </c>
      <c r="AH107" s="17">
        <f t="shared" si="33"/>
        <v>93</v>
      </c>
      <c r="AI107" s="17">
        <f t="shared" si="34"/>
        <v>5.8125</v>
      </c>
      <c r="AJ107" s="17">
        <f t="shared" si="35"/>
        <v>0</v>
      </c>
      <c r="AK107" s="17" t="str">
        <f t="shared" si="36"/>
        <v/>
      </c>
    </row>
    <row r="108" spans="12:37" x14ac:dyDescent="0.25">
      <c r="L108" s="35">
        <v>99</v>
      </c>
      <c r="M108" s="17">
        <f>IF('Bereich C '!$L$38="","nein",'Bereich C '!$L$38)</f>
        <v>5</v>
      </c>
      <c r="N108" s="17">
        <f t="shared" si="20"/>
        <v>5</v>
      </c>
      <c r="O108" s="17">
        <f t="shared" si="21"/>
        <v>94</v>
      </c>
      <c r="P108" s="17">
        <f t="shared" si="22"/>
        <v>17.625</v>
      </c>
      <c r="Q108" s="17">
        <f t="shared" si="23"/>
        <v>20</v>
      </c>
      <c r="R108" s="17" t="str">
        <f t="shared" si="37"/>
        <v/>
      </c>
      <c r="S108" s="17"/>
      <c r="T108" s="17"/>
      <c r="U108" s="17">
        <v>99</v>
      </c>
      <c r="V108" s="17">
        <f>'Bereich B '!$L$37</f>
        <v>5</v>
      </c>
      <c r="W108" s="17">
        <f t="shared" si="24"/>
        <v>5</v>
      </c>
      <c r="X108" s="17">
        <f t="shared" si="25"/>
        <v>94</v>
      </c>
      <c r="Y108" s="17">
        <f t="shared" si="26"/>
        <v>5.875</v>
      </c>
      <c r="Z108" s="17">
        <f t="shared" si="27"/>
        <v>10</v>
      </c>
      <c r="AA108" s="17" t="str">
        <f t="shared" si="28"/>
        <v/>
      </c>
      <c r="AB108" s="17">
        <v>99</v>
      </c>
      <c r="AC108" s="17">
        <f t="shared" si="29"/>
        <v>94</v>
      </c>
      <c r="AD108" s="17">
        <f t="shared" si="30"/>
        <v>5.875</v>
      </c>
      <c r="AE108" s="17">
        <f t="shared" si="31"/>
        <v>100</v>
      </c>
      <c r="AF108" s="17" t="str">
        <f t="shared" si="32"/>
        <v/>
      </c>
      <c r="AG108" s="17">
        <v>99</v>
      </c>
      <c r="AH108" s="17">
        <f t="shared" si="33"/>
        <v>94</v>
      </c>
      <c r="AI108" s="17">
        <f t="shared" si="34"/>
        <v>5.875</v>
      </c>
      <c r="AJ108" s="17">
        <f t="shared" si="35"/>
        <v>0</v>
      </c>
      <c r="AK108" s="17" t="str">
        <f t="shared" si="36"/>
        <v/>
      </c>
    </row>
    <row r="109" spans="12:37" x14ac:dyDescent="0.25">
      <c r="L109" s="35">
        <v>100</v>
      </c>
      <c r="M109" s="17">
        <f>IF('Bereich C '!$L$38="","nein",'Bereich C '!$L$38)</f>
        <v>5</v>
      </c>
      <c r="N109" s="17">
        <f t="shared" si="20"/>
        <v>5</v>
      </c>
      <c r="O109" s="17">
        <f t="shared" si="21"/>
        <v>95</v>
      </c>
      <c r="P109" s="17">
        <f t="shared" si="22"/>
        <v>17.8125</v>
      </c>
      <c r="Q109" s="17">
        <f t="shared" si="23"/>
        <v>20</v>
      </c>
      <c r="R109" s="17" t="str">
        <f t="shared" si="37"/>
        <v/>
      </c>
      <c r="S109" s="17"/>
      <c r="T109" s="17"/>
      <c r="U109" s="17">
        <v>100</v>
      </c>
      <c r="V109" s="17">
        <f>'Bereich B '!$L$37</f>
        <v>5</v>
      </c>
      <c r="W109" s="17">
        <f t="shared" si="24"/>
        <v>5</v>
      </c>
      <c r="X109" s="17">
        <f t="shared" si="25"/>
        <v>95</v>
      </c>
      <c r="Y109" s="17">
        <f t="shared" si="26"/>
        <v>5.9375</v>
      </c>
      <c r="Z109" s="17">
        <f t="shared" si="27"/>
        <v>10</v>
      </c>
      <c r="AA109" s="17" t="str">
        <f>IF(Z109=U109,Y109+W109,"")</f>
        <v/>
      </c>
      <c r="AB109" s="17">
        <v>100</v>
      </c>
      <c r="AC109" s="17">
        <f t="shared" si="29"/>
        <v>95</v>
      </c>
      <c r="AD109" s="17">
        <f t="shared" si="30"/>
        <v>5.9375</v>
      </c>
      <c r="AE109" s="17">
        <f t="shared" si="31"/>
        <v>100</v>
      </c>
      <c r="AF109" s="17">
        <f t="shared" si="32"/>
        <v>5.9375</v>
      </c>
      <c r="AG109" s="17">
        <v>100</v>
      </c>
      <c r="AH109" s="17">
        <f t="shared" si="33"/>
        <v>95</v>
      </c>
      <c r="AI109" s="17">
        <f t="shared" si="34"/>
        <v>5.9375</v>
      </c>
      <c r="AJ109" s="17">
        <f t="shared" si="35"/>
        <v>0</v>
      </c>
      <c r="AK109" s="17" t="str">
        <f t="shared" si="36"/>
        <v/>
      </c>
    </row>
    <row r="110" spans="12:37" x14ac:dyDescent="0.25">
      <c r="L110" s="35"/>
    </row>
    <row r="111" spans="12:37" x14ac:dyDescent="0.25">
      <c r="L111" s="35"/>
    </row>
    <row r="112" spans="12:37" x14ac:dyDescent="0.25">
      <c r="L112" s="35"/>
    </row>
    <row r="113" spans="12:12" x14ac:dyDescent="0.25">
      <c r="L113" s="35"/>
    </row>
    <row r="114" spans="12:12" x14ac:dyDescent="0.25">
      <c r="L114" s="35"/>
    </row>
    <row r="115" spans="12:12" x14ac:dyDescent="0.25">
      <c r="L115" s="35"/>
    </row>
    <row r="116" spans="12:12" x14ac:dyDescent="0.25">
      <c r="L116" s="35"/>
    </row>
    <row r="117" spans="12:12" x14ac:dyDescent="0.25">
      <c r="L117" s="35"/>
    </row>
    <row r="118" spans="12:12" x14ac:dyDescent="0.25">
      <c r="L118" s="35"/>
    </row>
  </sheetData>
  <sheetProtection algorithmName="SHA-512" hashValue="hRogkx2icPxD9+DYd4WGEjYg99N/k3UANWAyejnpbrkb0XvjnIlBL3Md/3oo9Rr3pryv4ue9y6mfFzQrxyf9Vg==" saltValue="ylxAeCITHI7sKuwdd4HR1Q==" spinCount="100000" sheet="1" objects="1" scenarios="1"/>
  <mergeCells count="41">
    <mergeCell ref="B39:F39"/>
    <mergeCell ref="B40:F40"/>
    <mergeCell ref="B41:F41"/>
    <mergeCell ref="B34:F34"/>
    <mergeCell ref="B35:F35"/>
    <mergeCell ref="B36:F36"/>
    <mergeCell ref="B37:F37"/>
    <mergeCell ref="B38:F38"/>
    <mergeCell ref="B29:F29"/>
    <mergeCell ref="B30:F30"/>
    <mergeCell ref="B31:F31"/>
    <mergeCell ref="B32:F32"/>
    <mergeCell ref="B33:F33"/>
    <mergeCell ref="B24:F24"/>
    <mergeCell ref="B25:F25"/>
    <mergeCell ref="B26:F26"/>
    <mergeCell ref="B27:F27"/>
    <mergeCell ref="B28:F28"/>
    <mergeCell ref="B19:F19"/>
    <mergeCell ref="B20:F20"/>
    <mergeCell ref="B21:F21"/>
    <mergeCell ref="B22:F22"/>
    <mergeCell ref="B23:F23"/>
    <mergeCell ref="B14:I14"/>
    <mergeCell ref="B15:F15"/>
    <mergeCell ref="B16:F16"/>
    <mergeCell ref="B17:F17"/>
    <mergeCell ref="B18:F18"/>
    <mergeCell ref="G10:G11"/>
    <mergeCell ref="H10:H11"/>
    <mergeCell ref="I10:I11"/>
    <mergeCell ref="AH8:AK8"/>
    <mergeCell ref="U7:AK7"/>
    <mergeCell ref="X8:AA8"/>
    <mergeCell ref="V8:W8"/>
    <mergeCell ref="AC8:AF8"/>
    <mergeCell ref="B7:E7"/>
    <mergeCell ref="G7:H7"/>
    <mergeCell ref="G9:I9"/>
    <mergeCell ref="F4:F5"/>
    <mergeCell ref="L7:Q7"/>
  </mergeCells>
  <phoneticPr fontId="21" type="noConversion"/>
  <conditionalFormatting sqref="AL6:AL7 I7 G12:I12">
    <cfRule type="colorScale" priority="1">
      <colorScale>
        <cfvo type="num" val="0"/>
        <cfvo type="num" val="50"/>
        <cfvo type="num" val="100"/>
        <color rgb="FFF8696B"/>
        <color rgb="FFFFEB84"/>
        <color rgb="FF63BE7B"/>
      </colorScale>
    </cfRule>
  </conditionalFormatting>
  <pageMargins left="0.7" right="0.7" top="0.78740157499999996" bottom="0.78740157499999996" header="0.3" footer="0.3"/>
  <pageSetup paperSize="9" scale="6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1584-3C6B-4E60-8C51-4B9DF2AFC3F6}">
  <sheetPr>
    <pageSetUpPr fitToPage="1"/>
  </sheetPr>
  <dimension ref="A1:MC26"/>
  <sheetViews>
    <sheetView zoomScale="80" zoomScaleNormal="80" workbookViewId="0">
      <selection activeCell="J30" sqref="J30"/>
    </sheetView>
  </sheetViews>
  <sheetFormatPr baseColWidth="10" defaultRowHeight="15" x14ac:dyDescent="0.25"/>
  <cols>
    <col min="1" max="1" width="2.5703125" customWidth="1"/>
    <col min="2" max="2" width="6.7109375" customWidth="1"/>
    <col min="3" max="3" width="19.85546875" customWidth="1"/>
    <col min="4" max="4" width="25.7109375" customWidth="1"/>
    <col min="5" max="5" width="4.7109375" customWidth="1"/>
    <col min="6" max="9" width="15.28515625" customWidth="1"/>
    <col min="10" max="10" width="29.7109375" customWidth="1"/>
    <col min="11" max="11" width="4.7109375" customWidth="1"/>
    <col min="12" max="12" width="33.28515625" customWidth="1"/>
    <col min="14" max="14" width="17.42578125" hidden="1" customWidth="1"/>
    <col min="15" max="15" width="44.140625" hidden="1" customWidth="1"/>
    <col min="19" max="19" width="11.42578125" style="24"/>
  </cols>
  <sheetData>
    <row r="1" spans="1:19" ht="15.95" customHeight="1" x14ac:dyDescent="0.25">
      <c r="A1" s="25"/>
      <c r="B1" s="8"/>
      <c r="C1" s="8"/>
      <c r="D1" s="8"/>
      <c r="E1" s="8"/>
      <c r="F1" s="8"/>
      <c r="G1" s="8"/>
      <c r="H1" s="8"/>
      <c r="I1" s="8"/>
      <c r="J1" s="8"/>
      <c r="K1" s="8"/>
      <c r="L1" s="8"/>
      <c r="M1" s="25"/>
    </row>
    <row r="2" spans="1:19" ht="15.95" customHeight="1" x14ac:dyDescent="0.25">
      <c r="A2" s="25"/>
      <c r="B2" s="8"/>
      <c r="C2" s="8"/>
      <c r="D2" s="8"/>
      <c r="E2" s="8"/>
      <c r="F2" s="8"/>
      <c r="G2" s="8"/>
      <c r="H2" s="8"/>
      <c r="I2" s="9" t="s">
        <v>2</v>
      </c>
      <c r="J2" s="8"/>
      <c r="K2" s="8"/>
      <c r="L2" s="8"/>
      <c r="M2" s="25"/>
    </row>
    <row r="3" spans="1:19" ht="15.95" customHeight="1" x14ac:dyDescent="0.25">
      <c r="A3" s="25"/>
      <c r="B3" s="8"/>
      <c r="C3" s="8"/>
      <c r="D3" s="8"/>
      <c r="E3" s="8"/>
      <c r="F3" s="8"/>
      <c r="G3" s="8"/>
      <c r="H3" s="8"/>
      <c r="I3" s="10" t="s">
        <v>3</v>
      </c>
      <c r="J3" s="8"/>
      <c r="K3" s="8"/>
      <c r="L3" s="8"/>
      <c r="M3" s="25"/>
    </row>
    <row r="4" spans="1:19" ht="15.95" customHeight="1" x14ac:dyDescent="0.25">
      <c r="A4" s="25"/>
      <c r="B4" s="8"/>
      <c r="C4" s="8"/>
      <c r="D4" s="8"/>
      <c r="E4" s="8"/>
      <c r="F4" s="8"/>
      <c r="G4" s="8"/>
      <c r="H4" s="8"/>
      <c r="I4" s="10" t="str">
        <f>'KlimaGemeinde Light'!D17</f>
        <v>Kugelschreiber</v>
      </c>
      <c r="J4" s="8"/>
      <c r="K4" s="8"/>
      <c r="L4" s="8"/>
      <c r="M4" s="25"/>
    </row>
    <row r="5" spans="1:19" ht="15.95" customHeight="1" x14ac:dyDescent="0.25">
      <c r="A5" s="25"/>
      <c r="B5" s="8"/>
      <c r="C5" s="8"/>
      <c r="D5" s="8"/>
      <c r="E5" s="8"/>
      <c r="F5" s="8"/>
      <c r="G5" s="8"/>
      <c r="H5" s="8"/>
      <c r="I5" s="8"/>
      <c r="J5" s="8"/>
      <c r="K5" s="307"/>
      <c r="L5" s="307"/>
      <c r="M5" s="25"/>
    </row>
    <row r="6" spans="1:19" x14ac:dyDescent="0.25">
      <c r="A6" s="25"/>
      <c r="B6" s="180"/>
      <c r="C6" s="180"/>
      <c r="D6" s="181"/>
      <c r="E6" s="180"/>
      <c r="F6" s="180"/>
      <c r="G6" s="180"/>
      <c r="H6" s="180"/>
      <c r="I6" s="180"/>
      <c r="J6" s="180"/>
      <c r="K6" s="22"/>
      <c r="L6" s="182"/>
      <c r="M6" s="25"/>
    </row>
    <row r="7" spans="1:19" ht="30" customHeight="1" x14ac:dyDescent="0.25">
      <c r="A7" s="25"/>
      <c r="B7" s="185"/>
      <c r="C7" s="186" t="s">
        <v>203</v>
      </c>
      <c r="D7" s="187"/>
      <c r="E7" s="185"/>
      <c r="F7" s="187"/>
      <c r="G7" s="187"/>
      <c r="H7" s="187" t="s">
        <v>235</v>
      </c>
      <c r="I7" s="187"/>
      <c r="J7" s="187"/>
      <c r="K7" s="187"/>
      <c r="L7" s="187"/>
      <c r="M7" s="25"/>
    </row>
    <row r="8" spans="1:19" x14ac:dyDescent="0.25">
      <c r="A8" s="25"/>
      <c r="B8" s="183"/>
      <c r="C8" s="183"/>
      <c r="D8" s="183"/>
      <c r="E8" s="183"/>
      <c r="F8" s="183"/>
      <c r="G8" s="183"/>
      <c r="H8" s="183"/>
      <c r="I8" s="183"/>
      <c r="J8" s="183"/>
      <c r="K8" s="183"/>
      <c r="L8" s="183"/>
      <c r="M8" s="25"/>
    </row>
    <row r="9" spans="1:19" ht="18" x14ac:dyDescent="0.25">
      <c r="A9" s="25"/>
      <c r="B9" s="183"/>
      <c r="C9" s="183"/>
      <c r="D9" s="183"/>
      <c r="E9" s="183"/>
      <c r="F9" s="183"/>
      <c r="G9" s="183"/>
      <c r="H9" s="183"/>
      <c r="I9" s="183"/>
      <c r="J9" s="183"/>
      <c r="K9" s="183"/>
      <c r="L9" s="191" t="s">
        <v>205</v>
      </c>
      <c r="M9" s="25"/>
    </row>
    <row r="10" spans="1:19" ht="18" x14ac:dyDescent="0.25">
      <c r="A10" s="25"/>
      <c r="B10" s="159"/>
      <c r="C10" s="159"/>
      <c r="D10" s="159"/>
      <c r="E10" s="159"/>
      <c r="F10" s="159"/>
      <c r="G10" s="159"/>
      <c r="H10" s="159"/>
      <c r="I10" s="159"/>
      <c r="J10" s="159"/>
      <c r="K10" s="159"/>
      <c r="L10" s="190"/>
      <c r="M10" s="25"/>
      <c r="O10" s="41"/>
      <c r="P10" s="41"/>
      <c r="Q10" s="41"/>
    </row>
    <row r="11" spans="1:19" ht="30" customHeight="1" x14ac:dyDescent="0.25">
      <c r="A11" s="25"/>
      <c r="B11" s="188" t="s">
        <v>23</v>
      </c>
      <c r="C11" s="306" t="s">
        <v>24</v>
      </c>
      <c r="D11" s="306"/>
      <c r="E11" s="159"/>
      <c r="F11" s="184"/>
      <c r="G11" s="184"/>
      <c r="H11" s="184"/>
      <c r="I11" s="184"/>
      <c r="J11" s="184"/>
      <c r="K11" s="159"/>
      <c r="L11" s="193">
        <f>IF('Bereich A'!L35="","",'Bereich A'!L35/100)</f>
        <v>0.05</v>
      </c>
      <c r="M11" s="25"/>
      <c r="S11" s="197">
        <f>L21</f>
        <v>0.05</v>
      </c>
    </row>
    <row r="12" spans="1:19" ht="30" customHeight="1" x14ac:dyDescent="0.25">
      <c r="A12" s="25"/>
      <c r="B12" s="190"/>
      <c r="C12" s="190"/>
      <c r="D12" s="190"/>
      <c r="E12" s="159"/>
      <c r="F12" s="159"/>
      <c r="G12" s="159"/>
      <c r="H12" s="159"/>
      <c r="I12" s="159"/>
      <c r="J12" s="159"/>
      <c r="K12" s="159"/>
      <c r="L12" s="192"/>
      <c r="M12" s="25"/>
      <c r="N12" s="39">
        <v>0</v>
      </c>
      <c r="S12" s="197">
        <f>L19</f>
        <v>0.05</v>
      </c>
    </row>
    <row r="13" spans="1:19" ht="30" customHeight="1" x14ac:dyDescent="0.25">
      <c r="A13" s="25"/>
      <c r="B13" s="188" t="s">
        <v>75</v>
      </c>
      <c r="C13" s="306" t="s">
        <v>87</v>
      </c>
      <c r="D13" s="306"/>
      <c r="E13" s="159"/>
      <c r="K13" s="159"/>
      <c r="L13" s="193">
        <f>IF('Bereich B '!C29="","",'Bereich B '!C29/100)</f>
        <v>0.109375</v>
      </c>
      <c r="M13" s="25"/>
      <c r="N13" s="39"/>
      <c r="S13" s="197">
        <f>L17</f>
        <v>0.05</v>
      </c>
    </row>
    <row r="14" spans="1:19" ht="30" customHeight="1" x14ac:dyDescent="0.25">
      <c r="A14" s="25"/>
      <c r="B14" s="190"/>
      <c r="C14" s="190"/>
      <c r="D14" s="190"/>
      <c r="E14" s="159"/>
      <c r="F14" s="308"/>
      <c r="G14" s="308"/>
      <c r="H14" s="308"/>
      <c r="I14" s="308"/>
      <c r="J14" s="308"/>
      <c r="K14" s="159"/>
      <c r="L14" s="194"/>
      <c r="M14" s="25"/>
      <c r="N14" s="39">
        <v>1</v>
      </c>
      <c r="S14" s="197">
        <f>L15</f>
        <v>7.8125E-2</v>
      </c>
    </row>
    <row r="15" spans="1:19" ht="30" customHeight="1" x14ac:dyDescent="0.25">
      <c r="A15" s="25"/>
      <c r="B15" s="188" t="s">
        <v>88</v>
      </c>
      <c r="C15" s="189" t="s">
        <v>89</v>
      </c>
      <c r="D15" s="189"/>
      <c r="E15" s="159"/>
      <c r="F15" s="184"/>
      <c r="G15" s="184"/>
      <c r="H15" s="184"/>
      <c r="I15" s="184"/>
      <c r="J15" s="184"/>
      <c r="K15" s="159"/>
      <c r="L15" s="193">
        <f>IF('Bereich C '!C31="","",'Bereich C '!C31/100)</f>
        <v>7.8125E-2</v>
      </c>
      <c r="M15" s="25"/>
      <c r="N15" s="39"/>
      <c r="S15" s="197">
        <f>L13</f>
        <v>0.109375</v>
      </c>
    </row>
    <row r="16" spans="1:19" ht="30" customHeight="1" x14ac:dyDescent="0.25">
      <c r="A16" s="25"/>
      <c r="B16" s="190"/>
      <c r="C16" s="190"/>
      <c r="D16" s="190"/>
      <c r="E16" s="159"/>
      <c r="F16" s="159"/>
      <c r="G16" s="159"/>
      <c r="H16" s="159"/>
      <c r="I16" s="159"/>
      <c r="J16" s="159"/>
      <c r="K16" s="159"/>
      <c r="L16" s="194"/>
      <c r="M16" s="25"/>
      <c r="S16" s="197">
        <f>L11</f>
        <v>0.05</v>
      </c>
    </row>
    <row r="17" spans="1:341" ht="30" customHeight="1" x14ac:dyDescent="0.25">
      <c r="A17" s="25"/>
      <c r="B17" s="188" t="s">
        <v>120</v>
      </c>
      <c r="C17" s="189" t="s">
        <v>121</v>
      </c>
      <c r="D17" s="189"/>
      <c r="E17" s="159"/>
      <c r="F17" s="184"/>
      <c r="G17" s="184"/>
      <c r="H17" s="184"/>
      <c r="I17" s="184"/>
      <c r="J17" s="184"/>
      <c r="K17" s="159"/>
      <c r="L17" s="193">
        <f>IF('Bereich D'!L37="","",'Bereich D'!L37/100)</f>
        <v>0.05</v>
      </c>
      <c r="M17" s="25"/>
      <c r="S17" s="198">
        <v>0</v>
      </c>
    </row>
    <row r="18" spans="1:341" ht="30" customHeight="1" x14ac:dyDescent="0.25">
      <c r="A18" s="25"/>
      <c r="B18" s="190"/>
      <c r="C18" s="190"/>
      <c r="D18" s="190"/>
      <c r="E18" s="159"/>
      <c r="F18" s="159"/>
      <c r="G18" s="159"/>
      <c r="H18" s="159"/>
      <c r="I18" s="159"/>
      <c r="J18" s="159"/>
      <c r="K18" s="159"/>
      <c r="L18" s="194"/>
      <c r="M18" s="25"/>
      <c r="S18" s="198">
        <v>1</v>
      </c>
    </row>
    <row r="19" spans="1:341" ht="30" customHeight="1" x14ac:dyDescent="0.25">
      <c r="A19" s="25"/>
      <c r="B19" s="188" t="s">
        <v>145</v>
      </c>
      <c r="C19" s="306" t="s">
        <v>146</v>
      </c>
      <c r="D19" s="306"/>
      <c r="E19" s="159"/>
      <c r="F19" s="184"/>
      <c r="G19" s="184"/>
      <c r="H19" s="184"/>
      <c r="I19" s="184"/>
      <c r="J19" s="184"/>
      <c r="K19" s="159"/>
      <c r="L19" s="193">
        <f>IF('Bereich E '!L39="","",'Bereich E '!L39/100)</f>
        <v>0.05</v>
      </c>
      <c r="M19" s="25"/>
    </row>
    <row r="20" spans="1:341" ht="30" customHeight="1" x14ac:dyDescent="0.25">
      <c r="A20" s="25"/>
      <c r="B20" s="190"/>
      <c r="C20" s="190"/>
      <c r="D20" s="190"/>
      <c r="E20" s="159"/>
      <c r="F20" s="159"/>
      <c r="G20" s="159"/>
      <c r="H20" s="159"/>
      <c r="I20" s="159"/>
      <c r="J20" s="159"/>
      <c r="K20" s="159"/>
      <c r="L20" s="194"/>
      <c r="M20" s="25"/>
    </row>
    <row r="21" spans="1:341" ht="30" customHeight="1" x14ac:dyDescent="0.25">
      <c r="A21" s="25"/>
      <c r="B21" s="188" t="s">
        <v>178</v>
      </c>
      <c r="C21" s="189" t="s">
        <v>179</v>
      </c>
      <c r="D21" s="189"/>
      <c r="E21" s="159"/>
      <c r="F21" s="184"/>
      <c r="G21" s="184"/>
      <c r="H21" s="184"/>
      <c r="I21" s="184"/>
      <c r="J21" s="184"/>
      <c r="K21" s="159"/>
      <c r="L21" s="193">
        <f>IF('Bereich F '!L31="","",'Bereich F '!L31/100)</f>
        <v>0.05</v>
      </c>
      <c r="M21" s="25"/>
    </row>
    <row r="22" spans="1:341" ht="6.75" customHeight="1" x14ac:dyDescent="0.25">
      <c r="A22" s="25"/>
      <c r="B22" s="25"/>
      <c r="C22" s="25"/>
      <c r="D22" s="25"/>
      <c r="E22" s="305"/>
      <c r="F22" s="305"/>
      <c r="G22" s="305"/>
      <c r="H22" s="305"/>
      <c r="I22" s="305"/>
      <c r="J22" s="305"/>
      <c r="K22" s="305"/>
      <c r="L22" s="25"/>
      <c r="M22" s="25"/>
    </row>
    <row r="23" spans="1:341" ht="30" customHeight="1" x14ac:dyDescent="0.25">
      <c r="A23" s="25"/>
      <c r="B23" s="25"/>
      <c r="C23" s="25"/>
      <c r="D23" s="25"/>
      <c r="E23" s="305"/>
      <c r="F23" s="305"/>
      <c r="G23" s="305"/>
      <c r="H23" s="305"/>
      <c r="I23" s="305"/>
      <c r="J23" s="305"/>
      <c r="K23" s="305"/>
      <c r="L23" s="25"/>
      <c r="M23" s="25"/>
    </row>
    <row r="24" spans="1:341" s="25" customFormat="1" x14ac:dyDescent="0.25">
      <c r="N24"/>
      <c r="O24"/>
      <c r="P24"/>
      <c r="Q24"/>
      <c r="R24"/>
      <c r="S24" 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row>
    <row r="25" spans="1:341" s="25" customFormat="1" x14ac:dyDescent="0.25">
      <c r="N25"/>
      <c r="O25"/>
      <c r="P25"/>
      <c r="Q25"/>
      <c r="R25"/>
      <c r="S25" s="24"/>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row>
    <row r="26" spans="1:341" s="25" customFormat="1" x14ac:dyDescent="0.25">
      <c r="N26"/>
      <c r="O26"/>
      <c r="P26"/>
      <c r="Q26"/>
      <c r="R26"/>
      <c r="S26" s="24"/>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row>
  </sheetData>
  <sheetProtection algorithmName="SHA-512" hashValue="izbMhhU+oag/un3RmeXYk74cXWi8ZExSdTZihB6nXUfyP7o/kb9jMrDVi7yN1zP7M9HFDnIR0E4qrdhM2+R8Ig==" saltValue="PSHvC3e/qMbkaW0pJ7/xwQ==" spinCount="100000" sheet="1" objects="1" scenarios="1"/>
  <mergeCells count="7">
    <mergeCell ref="E23:K23"/>
    <mergeCell ref="E22:K22"/>
    <mergeCell ref="C19:D19"/>
    <mergeCell ref="K5:L5"/>
    <mergeCell ref="C11:D11"/>
    <mergeCell ref="C13:D13"/>
    <mergeCell ref="F14:J14"/>
  </mergeCells>
  <conditionalFormatting sqref="L11">
    <cfRule type="colorScale" priority="4">
      <colorScale>
        <cfvo type="percent" val="0"/>
        <cfvo type="percent" val="50"/>
        <cfvo type="percent" val="100"/>
        <color rgb="FFF8696B"/>
        <color rgb="FFFFEB84"/>
        <color rgb="FF63BE7B"/>
      </colorScale>
    </cfRule>
  </conditionalFormatting>
  <conditionalFormatting sqref="L11:L21">
    <cfRule type="colorScale" priority="2">
      <colorScale>
        <cfvo type="min"/>
        <cfvo type="max"/>
        <color rgb="FFFF7128"/>
        <color rgb="FFFFEF9C"/>
      </colorScale>
    </cfRule>
    <cfRule type="cellIs" priority="3" operator="between">
      <formula>0</formula>
      <formula>1</formula>
    </cfRule>
    <cfRule type="colorScale" priority="5">
      <colorScale>
        <cfvo type="percent" val="0"/>
        <cfvo type="percent" val="50"/>
        <cfvo type="percent" val="100"/>
        <color rgb="FFF8696B"/>
        <color rgb="FFFFEB84"/>
        <color rgb="FF63BE7B"/>
      </colorScale>
    </cfRule>
    <cfRule type="colorScale" priority="6">
      <colorScale>
        <cfvo type="num" val="0"/>
        <cfvo type="num" val="0"/>
        <cfvo type="num" val="1"/>
        <color rgb="FFF8696B"/>
        <color rgb="FFFFEB84"/>
        <color rgb="FF63BE7B"/>
      </colorScale>
    </cfRule>
    <cfRule type="colorScale" priority="7">
      <colorScale>
        <cfvo type="percent" val="0"/>
        <cfvo type="percent" val="50"/>
        <cfvo type="percent" val="100"/>
        <color rgb="FFF8696B"/>
        <color rgb="FFFFEB84"/>
        <color rgb="FF63BE7B"/>
      </colorScale>
    </cfRule>
    <cfRule type="colorScale" priority="8">
      <colorScale>
        <cfvo type="percent" val="0"/>
        <cfvo type="percent" val="50"/>
        <cfvo type="percent" val="100"/>
        <color rgb="FFF8696B"/>
        <color rgb="FFFFEB84"/>
        <color rgb="FF63BE7B"/>
      </colorScale>
    </cfRule>
    <cfRule type="colorScale" priority="9">
      <colorScale>
        <cfvo type="num" val="0"/>
        <cfvo type="num" val="50"/>
        <cfvo type="num" val="100"/>
        <color rgb="FFF8696B"/>
        <color rgb="FFFFEB84"/>
        <color rgb="FF63BE7B"/>
      </colorScale>
    </cfRule>
    <cfRule type="colorScale" priority="10">
      <colorScale>
        <cfvo type="percent" val="0"/>
        <cfvo type="percentile" val="50"/>
        <cfvo type="percent" val="100"/>
        <color rgb="FFF8696B"/>
        <color rgb="FFFFEB84"/>
        <color rgb="FF63BE7B"/>
      </colorScale>
    </cfRule>
    <cfRule type="colorScale" priority="11">
      <colorScale>
        <cfvo type="percent" val="0"/>
        <cfvo type="percentile" val="50"/>
        <cfvo type="percent" val="100"/>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L11:N21">
    <cfRule type="colorScale" priority="1">
      <colorScale>
        <cfvo type="percent" val="0"/>
        <cfvo type="percent" val="50"/>
        <cfvo type="percent" val="100"/>
        <color rgb="FFF8696B"/>
        <color rgb="FFFFEB84"/>
        <color rgb="FF63BE7B"/>
      </colorScale>
    </cfRule>
  </conditionalFormatting>
  <pageMargins left="0.7" right="0.7" top="0.78740157499999996" bottom="0.78740157499999996" header="0.3" footer="0.3"/>
  <pageSetup paperSize="9" scale="6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06C87-541C-4DD1-BFBF-29C94DA5975D}">
  <sheetPr>
    <pageSetUpPr fitToPage="1"/>
  </sheetPr>
  <dimension ref="A1:CV10"/>
  <sheetViews>
    <sheetView topLeftCell="A5" zoomScaleNormal="100" workbookViewId="0">
      <selection activeCell="D8" sqref="D8"/>
    </sheetView>
  </sheetViews>
  <sheetFormatPr baseColWidth="10" defaultRowHeight="15" x14ac:dyDescent="0.25"/>
  <cols>
    <col min="1" max="1" width="2.85546875" customWidth="1"/>
    <col min="2" max="2" width="183.7109375" customWidth="1"/>
  </cols>
  <sheetData>
    <row r="1" spans="1:100" ht="96" customHeight="1" x14ac:dyDescent="0.25">
      <c r="A1" s="25"/>
      <c r="B1" s="1" t="s">
        <v>241</v>
      </c>
      <c r="C1" s="25"/>
    </row>
    <row r="2" spans="1:100" x14ac:dyDescent="0.25">
      <c r="A2" s="25"/>
      <c r="B2" s="25"/>
      <c r="C2" s="25"/>
    </row>
    <row r="3" spans="1:100" ht="18" x14ac:dyDescent="0.25">
      <c r="A3" s="25"/>
      <c r="B3" s="162" t="s">
        <v>0</v>
      </c>
      <c r="C3" s="25"/>
    </row>
    <row r="4" spans="1:100" ht="88.5" customHeight="1" x14ac:dyDescent="0.25">
      <c r="A4" s="25"/>
      <c r="B4" s="160" t="s">
        <v>242</v>
      </c>
      <c r="C4" s="25"/>
    </row>
    <row r="5" spans="1:100" ht="90.75" customHeight="1" x14ac:dyDescent="0.25">
      <c r="A5" s="25"/>
      <c r="B5" s="237" t="s">
        <v>243</v>
      </c>
      <c r="C5" s="25"/>
    </row>
    <row r="6" spans="1:100" ht="15.75" customHeight="1" x14ac:dyDescent="0.25">
      <c r="A6" s="25"/>
      <c r="B6" s="237"/>
      <c r="C6" s="25"/>
    </row>
    <row r="7" spans="1:100" ht="73.5" customHeight="1" x14ac:dyDescent="0.25">
      <c r="A7" s="25"/>
      <c r="B7" s="160" t="s">
        <v>1</v>
      </c>
      <c r="C7" s="25"/>
    </row>
    <row r="8" spans="1:100" ht="42" customHeight="1" x14ac:dyDescent="0.25">
      <c r="A8" s="25"/>
      <c r="B8" s="160" t="s">
        <v>244</v>
      </c>
      <c r="C8" s="25"/>
    </row>
    <row r="9" spans="1:100" ht="115.5" customHeight="1" thickTop="1" x14ac:dyDescent="0.25">
      <c r="A9" s="25"/>
      <c r="B9" s="161"/>
      <c r="C9" s="25"/>
    </row>
    <row r="10" spans="1:100" s="25" customFormat="1" x14ac:dyDescent="0.25">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row>
  </sheetData>
  <sheetProtection algorithmName="SHA-512" hashValue="Rw/CxIpgLkN0NpyLWBat628WpVTFIVJc//M1Wbplo9hZ3mb/1tor45KDDj4Kq4Y0XEVXw6y0xc1lYoSEi2CYrA==" saltValue="pYCTyaXYw1/9ultN8CBRAw==" spinCount="100000" sheet="1" objects="1" scenarios="1"/>
  <mergeCells count="1">
    <mergeCell ref="B5:B6"/>
  </mergeCells>
  <pageMargins left="0.7" right="0.7" top="0.78740157499999996" bottom="0.78740157499999996" header="0.3" footer="0.3"/>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0B66D-A5C5-4832-8D70-847554423883}">
  <sheetPr>
    <pageSetUpPr fitToPage="1"/>
  </sheetPr>
  <dimension ref="A1:H36"/>
  <sheetViews>
    <sheetView zoomScaleNormal="100" zoomScaleSheetLayoutView="100" workbookViewId="0">
      <selection activeCell="A6" sqref="A6:XFD6"/>
    </sheetView>
  </sheetViews>
  <sheetFormatPr baseColWidth="10" defaultRowHeight="15" x14ac:dyDescent="0.25"/>
  <cols>
    <col min="1" max="1" width="2.85546875" customWidth="1"/>
    <col min="2" max="3" width="31.28515625" customWidth="1"/>
    <col min="4" max="4" width="56.7109375" customWidth="1"/>
    <col min="5" max="5" width="5.7109375" customWidth="1"/>
    <col min="6" max="7" width="31.28515625" customWidth="1"/>
  </cols>
  <sheetData>
    <row r="1" spans="1:8" ht="15.95" customHeight="1" x14ac:dyDescent="0.25">
      <c r="B1" s="2"/>
      <c r="C1" s="2"/>
      <c r="D1" s="6"/>
      <c r="E1" s="3"/>
      <c r="F1" s="6"/>
      <c r="G1" s="6"/>
    </row>
    <row r="2" spans="1:8" ht="15.95" customHeight="1" x14ac:dyDescent="0.25">
      <c r="B2" s="2"/>
      <c r="C2" s="2"/>
      <c r="D2" s="4" t="s">
        <v>2</v>
      </c>
      <c r="E2" s="3"/>
      <c r="F2" s="2"/>
      <c r="G2" s="2"/>
    </row>
    <row r="3" spans="1:8" ht="15.95" customHeight="1" x14ac:dyDescent="0.25">
      <c r="B3" s="2"/>
      <c r="C3" s="2"/>
      <c r="D3" s="5" t="s">
        <v>3</v>
      </c>
      <c r="E3" s="3"/>
      <c r="F3" s="2"/>
      <c r="G3" s="2"/>
    </row>
    <row r="4" spans="1:8" ht="15.95" customHeight="1" x14ac:dyDescent="0.25">
      <c r="B4" s="2"/>
      <c r="C4" s="2"/>
      <c r="D4" s="5" t="str">
        <f>D17</f>
        <v>Kugelschreiber</v>
      </c>
      <c r="E4" s="3"/>
      <c r="F4" s="2"/>
      <c r="G4" s="2"/>
    </row>
    <row r="5" spans="1:8" ht="15.95" customHeight="1" x14ac:dyDescent="0.25">
      <c r="B5" s="2"/>
      <c r="C5" s="2"/>
      <c r="D5" s="6"/>
      <c r="E5" s="3"/>
      <c r="F5" s="6"/>
      <c r="G5" s="6"/>
    </row>
    <row r="6" spans="1:8" x14ac:dyDescent="0.25">
      <c r="A6" s="25"/>
      <c r="B6" s="7"/>
      <c r="C6" s="7"/>
      <c r="D6" s="7"/>
      <c r="E6" s="7"/>
      <c r="F6" s="7"/>
      <c r="G6" s="7"/>
      <c r="H6" s="25"/>
    </row>
    <row r="7" spans="1:8" ht="15.75" x14ac:dyDescent="0.25">
      <c r="A7" s="25"/>
      <c r="B7" s="233" t="s">
        <v>4</v>
      </c>
      <c r="C7" s="233"/>
      <c r="D7" s="233"/>
      <c r="E7" s="233"/>
      <c r="F7" s="233"/>
      <c r="G7" s="233"/>
      <c r="H7" s="25"/>
    </row>
    <row r="8" spans="1:8" x14ac:dyDescent="0.25">
      <c r="A8" s="25"/>
      <c r="B8" s="7"/>
      <c r="C8" s="7"/>
      <c r="D8" s="7"/>
      <c r="E8" s="7"/>
      <c r="F8" s="7"/>
      <c r="G8" s="7"/>
      <c r="H8" s="25"/>
    </row>
    <row r="9" spans="1:8" ht="16.5" thickBot="1" x14ac:dyDescent="0.3">
      <c r="A9" s="25"/>
      <c r="B9" s="163" t="s">
        <v>5</v>
      </c>
      <c r="C9" s="163"/>
      <c r="D9" s="163"/>
      <c r="E9" s="7"/>
      <c r="F9" s="7"/>
      <c r="G9" s="7"/>
      <c r="H9" s="25"/>
    </row>
    <row r="10" spans="1:8" ht="15.75" customHeight="1" x14ac:dyDescent="0.25">
      <c r="A10" s="25"/>
      <c r="B10" s="238" t="s">
        <v>6</v>
      </c>
      <c r="C10" s="238"/>
      <c r="D10" s="164" t="s">
        <v>236</v>
      </c>
      <c r="E10" s="29" t="s">
        <v>7</v>
      </c>
      <c r="F10" s="239" t="s">
        <v>245</v>
      </c>
      <c r="G10" s="240"/>
      <c r="H10" s="25"/>
    </row>
    <row r="11" spans="1:8" ht="15.75" customHeight="1" x14ac:dyDescent="0.25">
      <c r="A11" s="25"/>
      <c r="B11" s="238" t="s">
        <v>8</v>
      </c>
      <c r="C11" s="238"/>
      <c r="D11" s="165">
        <f ca="1">TODAY()</f>
        <v>45776</v>
      </c>
      <c r="E11" s="29"/>
      <c r="F11" s="241"/>
      <c r="G11" s="242"/>
      <c r="H11" s="25"/>
    </row>
    <row r="12" spans="1:8" ht="15.75" x14ac:dyDescent="0.25">
      <c r="A12" s="25"/>
      <c r="B12" s="238" t="s">
        <v>9</v>
      </c>
      <c r="C12" s="238"/>
      <c r="D12" s="164" t="s">
        <v>236</v>
      </c>
      <c r="E12" s="29"/>
      <c r="F12" s="241"/>
      <c r="G12" s="242"/>
      <c r="H12" s="25"/>
    </row>
    <row r="13" spans="1:8" ht="15.75" x14ac:dyDescent="0.25">
      <c r="A13" s="25"/>
      <c r="B13" s="238" t="s">
        <v>10</v>
      </c>
      <c r="C13" s="238"/>
      <c r="D13" s="164" t="s">
        <v>236</v>
      </c>
      <c r="E13" s="29"/>
      <c r="F13" s="241"/>
      <c r="G13" s="242"/>
      <c r="H13" s="25"/>
    </row>
    <row r="14" spans="1:8" ht="18.95" customHeight="1" x14ac:dyDescent="0.25">
      <c r="A14" s="25"/>
      <c r="B14" s="166"/>
      <c r="C14" s="166"/>
      <c r="D14" s="167"/>
      <c r="E14" s="29"/>
      <c r="F14" s="241"/>
      <c r="G14" s="242"/>
      <c r="H14" s="25"/>
    </row>
    <row r="15" spans="1:8" ht="18.95" customHeight="1" x14ac:dyDescent="0.25">
      <c r="A15" s="25"/>
      <c r="B15" s="168"/>
      <c r="C15" s="168"/>
      <c r="D15" s="169"/>
      <c r="E15" s="29"/>
      <c r="F15" s="241"/>
      <c r="G15" s="242"/>
      <c r="H15" s="25"/>
    </row>
    <row r="16" spans="1:8" ht="15.75" x14ac:dyDescent="0.25">
      <c r="A16" s="25"/>
      <c r="B16" s="163" t="s">
        <v>11</v>
      </c>
      <c r="C16" s="163"/>
      <c r="D16" s="170"/>
      <c r="E16" s="29"/>
      <c r="F16" s="241"/>
      <c r="G16" s="242"/>
      <c r="H16" s="25"/>
    </row>
    <row r="17" spans="1:8" ht="15.75" x14ac:dyDescent="0.25">
      <c r="A17" s="25"/>
      <c r="B17" s="238" t="s">
        <v>12</v>
      </c>
      <c r="C17" s="238"/>
      <c r="D17" s="164" t="s">
        <v>240</v>
      </c>
      <c r="E17" s="29"/>
      <c r="F17" s="241"/>
      <c r="G17" s="242"/>
      <c r="H17" s="25"/>
    </row>
    <row r="18" spans="1:8" ht="15.75" x14ac:dyDescent="0.25">
      <c r="A18" s="25"/>
      <c r="B18" s="238" t="s">
        <v>13</v>
      </c>
      <c r="C18" s="238"/>
      <c r="D18" s="195" t="s">
        <v>236</v>
      </c>
      <c r="E18" s="29"/>
      <c r="F18" s="241"/>
      <c r="G18" s="242"/>
      <c r="H18" s="25"/>
    </row>
    <row r="19" spans="1:8" ht="15.75" x14ac:dyDescent="0.25">
      <c r="A19" s="25"/>
      <c r="B19" s="238" t="s">
        <v>14</v>
      </c>
      <c r="C19" s="238"/>
      <c r="D19" s="164" t="s">
        <v>236</v>
      </c>
      <c r="E19" s="29"/>
      <c r="F19" s="241"/>
      <c r="G19" s="242"/>
      <c r="H19" s="25"/>
    </row>
    <row r="20" spans="1:8" ht="18.95" customHeight="1" x14ac:dyDescent="0.25">
      <c r="A20" s="25"/>
      <c r="B20" s="166"/>
      <c r="C20" s="166"/>
      <c r="D20" s="171"/>
      <c r="E20" s="29"/>
      <c r="F20" s="241"/>
      <c r="G20" s="242"/>
      <c r="H20" s="25"/>
    </row>
    <row r="21" spans="1:8" ht="18.95" customHeight="1" x14ac:dyDescent="0.25">
      <c r="A21" s="25"/>
      <c r="B21" s="168"/>
      <c r="C21" s="168"/>
      <c r="D21" s="169"/>
      <c r="E21" s="29"/>
      <c r="F21" s="241"/>
      <c r="G21" s="242"/>
      <c r="H21" s="25"/>
    </row>
    <row r="22" spans="1:8" ht="15.75" x14ac:dyDescent="0.25">
      <c r="A22" s="25"/>
      <c r="B22" s="243" t="s">
        <v>15</v>
      </c>
      <c r="C22" s="243"/>
      <c r="D22" s="173" t="s">
        <v>236</v>
      </c>
      <c r="E22" s="29"/>
      <c r="F22" s="241"/>
      <c r="G22" s="242"/>
      <c r="H22" s="25"/>
    </row>
    <row r="23" spans="1:8" ht="15.75" x14ac:dyDescent="0.25">
      <c r="A23" s="25"/>
      <c r="B23" s="238" t="s">
        <v>16</v>
      </c>
      <c r="C23" s="238"/>
      <c r="D23" s="196" t="s">
        <v>236</v>
      </c>
      <c r="E23" s="29"/>
      <c r="F23" s="241"/>
      <c r="G23" s="242"/>
      <c r="H23" s="25"/>
    </row>
    <row r="24" spans="1:8" ht="15.75" x14ac:dyDescent="0.25">
      <c r="A24" s="25"/>
      <c r="B24" s="238" t="s">
        <v>17</v>
      </c>
      <c r="C24" s="238"/>
      <c r="D24" s="164" t="s">
        <v>236</v>
      </c>
      <c r="E24" s="29"/>
      <c r="F24" s="241"/>
      <c r="G24" s="242"/>
      <c r="H24" s="25"/>
    </row>
    <row r="25" spans="1:8" ht="18.95" customHeight="1" x14ac:dyDescent="0.25">
      <c r="A25" s="25"/>
      <c r="B25" s="172"/>
      <c r="C25" s="172"/>
      <c r="D25" s="174"/>
      <c r="E25" s="29"/>
      <c r="F25" s="241"/>
      <c r="G25" s="242"/>
      <c r="H25" s="25"/>
    </row>
    <row r="26" spans="1:8" ht="18.95" customHeight="1" x14ac:dyDescent="0.25">
      <c r="A26" s="25"/>
      <c r="B26" s="172"/>
      <c r="C26" s="172"/>
      <c r="D26" s="174"/>
      <c r="E26" s="29"/>
      <c r="F26" s="241"/>
      <c r="G26" s="242"/>
      <c r="H26" s="25"/>
    </row>
    <row r="27" spans="1:8" ht="16.5" thickBot="1" x14ac:dyDescent="0.3">
      <c r="A27" s="25"/>
      <c r="B27" s="243" t="s">
        <v>18</v>
      </c>
      <c r="C27" s="243"/>
      <c r="D27" s="173" t="s">
        <v>236</v>
      </c>
      <c r="E27" s="29"/>
      <c r="F27" s="241"/>
      <c r="G27" s="242"/>
      <c r="H27" s="25"/>
    </row>
    <row r="28" spans="1:8" ht="15.75" customHeight="1" x14ac:dyDescent="0.25">
      <c r="A28" s="25"/>
      <c r="B28" s="238" t="s">
        <v>16</v>
      </c>
      <c r="C28" s="238"/>
      <c r="D28" s="196" t="s">
        <v>236</v>
      </c>
      <c r="E28" s="29"/>
      <c r="F28" s="244" t="s">
        <v>246</v>
      </c>
      <c r="G28" s="245"/>
      <c r="H28" s="25"/>
    </row>
    <row r="29" spans="1:8" ht="16.5" thickBot="1" x14ac:dyDescent="0.3">
      <c r="A29" s="25"/>
      <c r="B29" s="238" t="s">
        <v>17</v>
      </c>
      <c r="C29" s="238"/>
      <c r="D29" s="164" t="s">
        <v>236</v>
      </c>
      <c r="E29" s="29"/>
      <c r="F29" s="246" t="s">
        <v>247</v>
      </c>
      <c r="G29" s="247"/>
      <c r="H29" s="25"/>
    </row>
    <row r="30" spans="1:8" x14ac:dyDescent="0.25">
      <c r="A30" s="25"/>
      <c r="B30" s="25"/>
      <c r="C30" s="25"/>
      <c r="D30" s="25"/>
      <c r="E30" s="25"/>
      <c r="F30" s="25"/>
      <c r="G30" s="25"/>
      <c r="H30" s="25"/>
    </row>
    <row r="31" spans="1:8" x14ac:dyDescent="0.25">
      <c r="A31" s="25"/>
      <c r="B31" s="25"/>
      <c r="C31" s="25"/>
      <c r="D31" s="25"/>
      <c r="E31" s="25"/>
      <c r="F31" s="25"/>
      <c r="G31" s="25"/>
      <c r="H31" s="25"/>
    </row>
    <row r="32" spans="1:8" ht="18" customHeight="1" x14ac:dyDescent="0.25">
      <c r="A32" s="25"/>
      <c r="B32" s="249" t="s">
        <v>276</v>
      </c>
      <c r="C32" s="249"/>
      <c r="D32" s="25"/>
      <c r="E32" s="25"/>
      <c r="F32" s="25"/>
      <c r="G32" s="25"/>
      <c r="H32" s="25"/>
    </row>
    <row r="33" spans="1:8" ht="18" customHeight="1" x14ac:dyDescent="0.25">
      <c r="A33" s="25"/>
      <c r="B33" s="248" t="s">
        <v>278</v>
      </c>
      <c r="C33" s="248"/>
      <c r="D33" s="248"/>
      <c r="E33" s="25"/>
      <c r="F33" s="25"/>
      <c r="G33" s="25"/>
      <c r="H33" s="25"/>
    </row>
    <row r="34" spans="1:8" ht="18" customHeight="1" x14ac:dyDescent="0.25">
      <c r="A34" s="25"/>
      <c r="B34" s="248" t="s">
        <v>277</v>
      </c>
      <c r="C34" s="248"/>
      <c r="D34" s="248"/>
      <c r="E34" s="25"/>
      <c r="F34" s="25"/>
      <c r="G34" s="25"/>
      <c r="H34" s="25"/>
    </row>
    <row r="35" spans="1:8" ht="15.75" x14ac:dyDescent="0.25">
      <c r="A35" s="25"/>
      <c r="B35" s="208" t="s">
        <v>279</v>
      </c>
      <c r="C35" s="208"/>
      <c r="D35" s="208"/>
      <c r="E35" s="25"/>
      <c r="F35" s="25"/>
      <c r="G35" s="25"/>
      <c r="H35" s="25"/>
    </row>
    <row r="36" spans="1:8" x14ac:dyDescent="0.25">
      <c r="A36" s="25"/>
      <c r="B36" s="25"/>
      <c r="C36" s="25"/>
      <c r="D36" s="25"/>
      <c r="E36" s="25"/>
      <c r="F36" s="25"/>
      <c r="G36" s="25"/>
      <c r="H36" s="25"/>
    </row>
  </sheetData>
  <sheetProtection algorithmName="SHA-512" hashValue="Zt35+1c3QZnyQFytc7jX8oxAQ1+hAuS2i8AW9v4FFGDr33EOOyH0HfEYNQBWjhMdujHi6DIkEfaXOGU0ZRFFeQ==" saltValue="rqSmrkv2yj3sl7EtDaT2gw==" spinCount="100000" sheet="1" objects="1" scenarios="1"/>
  <mergeCells count="20">
    <mergeCell ref="F28:G28"/>
    <mergeCell ref="F29:G29"/>
    <mergeCell ref="B33:D33"/>
    <mergeCell ref="B34:D34"/>
    <mergeCell ref="B32:C32"/>
    <mergeCell ref="B28:C28"/>
    <mergeCell ref="B29:C29"/>
    <mergeCell ref="B17:C17"/>
    <mergeCell ref="B7:G7"/>
    <mergeCell ref="B10:C10"/>
    <mergeCell ref="F10:G27"/>
    <mergeCell ref="B11:C11"/>
    <mergeCell ref="B12:C12"/>
    <mergeCell ref="B13:C13"/>
    <mergeCell ref="B18:C18"/>
    <mergeCell ref="B19:C19"/>
    <mergeCell ref="B22:C22"/>
    <mergeCell ref="B23:C23"/>
    <mergeCell ref="B24:C24"/>
    <mergeCell ref="B27:C27"/>
  </mergeCells>
  <pageMargins left="0.7" right="0.7" top="0.78740157499999996" bottom="0.78740157499999996" header="0.3" footer="0.3"/>
  <pageSetup paperSize="9" scale="6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50EA4-D7FE-4E33-898D-4610A5F00F65}">
  <sheetPr>
    <pageSetUpPr fitToPage="1"/>
  </sheetPr>
  <dimension ref="A1:O48"/>
  <sheetViews>
    <sheetView topLeftCell="A13" zoomScaleNormal="100" workbookViewId="0">
      <selection activeCell="O24" sqref="O24"/>
    </sheetView>
  </sheetViews>
  <sheetFormatPr baseColWidth="10" defaultRowHeight="15" x14ac:dyDescent="0.25"/>
  <cols>
    <col min="1" max="1" width="2.85546875" customWidth="1"/>
    <col min="2" max="2" width="9.7109375" customWidth="1"/>
    <col min="3" max="3" width="63.7109375" customWidth="1"/>
    <col min="4" max="4" width="44.7109375" customWidth="1"/>
    <col min="5" max="9" width="4.7109375" customWidth="1"/>
    <col min="10" max="10" width="10.28515625" customWidth="1"/>
    <col min="11" max="11" width="13.140625" customWidth="1"/>
    <col min="12" max="12" width="47.7109375" customWidth="1"/>
  </cols>
  <sheetData>
    <row r="1" spans="1:13" ht="15.95" customHeight="1" x14ac:dyDescent="0.25">
      <c r="A1" s="25"/>
      <c r="B1" s="8"/>
      <c r="C1" s="8"/>
      <c r="D1" s="8"/>
      <c r="E1" s="8"/>
      <c r="F1" s="8"/>
      <c r="G1" s="8"/>
      <c r="H1" s="8"/>
      <c r="I1" s="8"/>
      <c r="J1" s="8"/>
      <c r="K1" s="8"/>
      <c r="L1" s="8"/>
      <c r="M1" s="25"/>
    </row>
    <row r="2" spans="1:13" ht="15.95" customHeight="1" x14ac:dyDescent="0.25">
      <c r="A2" s="25"/>
      <c r="B2" s="8"/>
      <c r="C2" s="8"/>
      <c r="D2" s="8"/>
      <c r="E2" s="8"/>
      <c r="F2" s="8"/>
      <c r="G2" s="8"/>
      <c r="H2" s="9" t="s">
        <v>2</v>
      </c>
      <c r="I2" s="8"/>
      <c r="J2" s="8"/>
      <c r="K2" s="8"/>
      <c r="L2" s="8"/>
      <c r="M2" s="25"/>
    </row>
    <row r="3" spans="1:13" ht="15.95" customHeight="1" x14ac:dyDescent="0.25">
      <c r="A3" s="25"/>
      <c r="B3" s="8"/>
      <c r="C3" s="8"/>
      <c r="D3" s="8"/>
      <c r="E3" s="8"/>
      <c r="F3" s="8"/>
      <c r="G3" s="8"/>
      <c r="H3" s="10" t="s">
        <v>3</v>
      </c>
      <c r="I3" s="8"/>
      <c r="J3" s="8"/>
      <c r="K3" s="8"/>
      <c r="L3" s="8"/>
      <c r="M3" s="25"/>
    </row>
    <row r="4" spans="1:13" ht="15.95" customHeight="1" x14ac:dyDescent="0.25">
      <c r="A4" s="25"/>
      <c r="B4" s="8"/>
      <c r="C4" s="8"/>
      <c r="D4" s="8"/>
      <c r="E4" s="8"/>
      <c r="F4" s="8"/>
      <c r="G4" s="8"/>
      <c r="H4" s="10" t="str">
        <f>'KlimaGemeinde Light'!D17</f>
        <v>Kugelschreiber</v>
      </c>
      <c r="I4" s="8"/>
      <c r="J4" s="8"/>
      <c r="K4" s="8"/>
      <c r="L4" s="8"/>
      <c r="M4" s="25"/>
    </row>
    <row r="5" spans="1:13" ht="15.95" customHeight="1" x14ac:dyDescent="0.25">
      <c r="A5" s="25"/>
      <c r="B5" s="8"/>
      <c r="C5" s="6"/>
      <c r="D5" s="6"/>
      <c r="E5" s="8"/>
      <c r="F5" s="6"/>
      <c r="G5" s="6"/>
      <c r="H5" s="6"/>
      <c r="I5" s="6"/>
      <c r="J5" s="6"/>
      <c r="K5" s="6"/>
      <c r="L5" s="6"/>
      <c r="M5" s="25"/>
    </row>
    <row r="6" spans="1:13" ht="15.75" thickBot="1" x14ac:dyDescent="0.3">
      <c r="A6" s="25"/>
      <c r="B6" s="25"/>
      <c r="C6" s="25"/>
      <c r="D6" s="25"/>
      <c r="E6" s="25"/>
      <c r="F6" s="25"/>
      <c r="G6" s="25"/>
      <c r="H6" s="25"/>
      <c r="I6" s="25"/>
      <c r="J6" s="25"/>
      <c r="K6" s="25"/>
      <c r="L6" s="25"/>
      <c r="M6" s="25"/>
    </row>
    <row r="7" spans="1:13" x14ac:dyDescent="0.25">
      <c r="A7" s="25"/>
      <c r="B7" s="257" t="s">
        <v>19</v>
      </c>
      <c r="C7" s="257" t="s">
        <v>20</v>
      </c>
      <c r="D7" s="257" t="s">
        <v>21</v>
      </c>
      <c r="E7" s="259" t="s">
        <v>22</v>
      </c>
      <c r="F7" s="260"/>
      <c r="G7" s="260"/>
      <c r="H7" s="260"/>
      <c r="I7" s="261"/>
      <c r="J7" s="250"/>
      <c r="K7" s="251"/>
      <c r="L7" s="252"/>
      <c r="M7" s="25"/>
    </row>
    <row r="8" spans="1:13" ht="15.75" thickBot="1" x14ac:dyDescent="0.3">
      <c r="A8" s="25"/>
      <c r="B8" s="258"/>
      <c r="C8" s="258"/>
      <c r="D8" s="258"/>
      <c r="E8" s="11">
        <v>1</v>
      </c>
      <c r="F8" s="12">
        <v>2</v>
      </c>
      <c r="G8" s="12">
        <v>3</v>
      </c>
      <c r="H8" s="13">
        <v>4</v>
      </c>
      <c r="I8" s="14">
        <v>5</v>
      </c>
      <c r="J8" s="253"/>
      <c r="K8" s="254"/>
      <c r="L8" s="255"/>
      <c r="M8" s="25"/>
    </row>
    <row r="9" spans="1:13" ht="15.75" thickBot="1" x14ac:dyDescent="0.3">
      <c r="A9" s="25"/>
      <c r="B9" s="23" t="s">
        <v>23</v>
      </c>
      <c r="C9" s="262" t="s">
        <v>24</v>
      </c>
      <c r="D9" s="263"/>
      <c r="E9" s="15"/>
      <c r="F9" s="15"/>
      <c r="G9" s="15"/>
      <c r="H9" s="15"/>
      <c r="I9" s="16"/>
      <c r="J9" s="82" t="s">
        <v>27</v>
      </c>
      <c r="K9" s="83"/>
      <c r="L9" s="84" t="s">
        <v>30</v>
      </c>
      <c r="M9" s="25"/>
    </row>
    <row r="10" spans="1:13" ht="42" customHeight="1" x14ac:dyDescent="0.25">
      <c r="A10" s="25"/>
      <c r="B10" s="48" t="s">
        <v>25</v>
      </c>
      <c r="C10" s="57" t="s">
        <v>26</v>
      </c>
      <c r="D10" s="60"/>
      <c r="E10" s="61"/>
      <c r="F10" s="61"/>
      <c r="G10" s="61"/>
      <c r="H10" s="61"/>
      <c r="I10" s="80" t="s">
        <v>239</v>
      </c>
      <c r="J10" s="71" t="str">
        <f t="shared" ref="J10:J17" si="0">IF(AND(E10="",F10="",G10="",H10="",I10=""),"","x")</f>
        <v>x</v>
      </c>
      <c r="K10" s="72" t="str">
        <f t="shared" ref="K10:K17" si="1">IF(AND(E10="",F10="",G10="",H10="",I10=""),"Eingabe fehlt",IF(COUNTA(E10:I10)&gt;1, "Nur eine Bewertung pro Unterbereich möglich", ""))</f>
        <v/>
      </c>
      <c r="L10" s="73" t="str">
        <f>IF(AND(G10="",H10="",I10=""),"","Beitritt zum Klimabündnis, KlimaGemeinde, Bürgermeisterkonvent usw anstreben.")</f>
        <v>Beitritt zum Klimabündnis, KlimaGemeinde, Bürgermeisterkonvent usw anstreben.</v>
      </c>
      <c r="M10" s="25"/>
    </row>
    <row r="11" spans="1:13" ht="38.25" x14ac:dyDescent="0.25">
      <c r="A11" s="25"/>
      <c r="B11" s="49" t="s">
        <v>28</v>
      </c>
      <c r="C11" s="58" t="s">
        <v>29</v>
      </c>
      <c r="D11" s="62"/>
      <c r="E11" s="63"/>
      <c r="F11" s="63"/>
      <c r="G11" s="63"/>
      <c r="H11" s="63"/>
      <c r="I11" s="54" t="s">
        <v>239</v>
      </c>
      <c r="J11" s="74" t="str">
        <f t="shared" si="0"/>
        <v>x</v>
      </c>
      <c r="K11" s="75" t="str">
        <f t="shared" si="1"/>
        <v/>
      </c>
      <c r="L11" s="76" t="str">
        <f>IF(AND(G11="",H11="",I11=""),"","Um die gestarteten Energieaktivitäten zu verstärken, wäre die Einführung eines Energiemanagementsystems sinnvoll.")</f>
        <v>Um die gestarteten Energieaktivitäten zu verstärken, wäre die Einführung eines Energiemanagementsystems sinnvoll.</v>
      </c>
      <c r="M11" s="25"/>
    </row>
    <row r="12" spans="1:13" ht="42.75" customHeight="1" x14ac:dyDescent="0.25">
      <c r="A12" s="25"/>
      <c r="B12" s="49" t="s">
        <v>31</v>
      </c>
      <c r="C12" s="58" t="s">
        <v>32</v>
      </c>
      <c r="D12" s="64"/>
      <c r="E12" s="63"/>
      <c r="F12" s="63"/>
      <c r="G12" s="63"/>
      <c r="H12" s="63"/>
      <c r="I12" s="54" t="s">
        <v>239</v>
      </c>
      <c r="J12" s="74" t="str">
        <f t="shared" si="0"/>
        <v>x</v>
      </c>
      <c r="K12" s="75" t="str">
        <f t="shared" si="1"/>
        <v/>
      </c>
      <c r="L12" s="76" t="str">
        <f>IF(AND(G12="",H12="",I12=""),"","Eine Einbindung der Bevölkerung in die Gemeindeenergiepolitik durch eine Aufforderung zur (Bürger-) Beteiligung ist anstrebsam.")</f>
        <v>Eine Einbindung der Bevölkerung in die Gemeindeenergiepolitik durch eine Aufforderung zur (Bürger-) Beteiligung ist anstrebsam.</v>
      </c>
      <c r="M12" s="25"/>
    </row>
    <row r="13" spans="1:13" ht="44.25" customHeight="1" x14ac:dyDescent="0.25">
      <c r="A13" s="25"/>
      <c r="B13" s="49" t="s">
        <v>33</v>
      </c>
      <c r="C13" s="58" t="s">
        <v>34</v>
      </c>
      <c r="D13" s="64"/>
      <c r="E13" s="63"/>
      <c r="F13" s="63"/>
      <c r="G13" s="63"/>
      <c r="H13" s="63"/>
      <c r="I13" s="54" t="s">
        <v>239</v>
      </c>
      <c r="J13" s="74" t="str">
        <f t="shared" si="0"/>
        <v>x</v>
      </c>
      <c r="K13" s="75" t="str">
        <f t="shared" si="1"/>
        <v/>
      </c>
      <c r="L13" s="76" t="str">
        <f>IF(AND(G13="",H13="",I13=""),"","Erstellung eines Leitbildes mit quantifizierbaren Zielen.")</f>
        <v>Erstellung eines Leitbildes mit quantifizierbaren Zielen.</v>
      </c>
      <c r="M13" s="25"/>
    </row>
    <row r="14" spans="1:13" ht="36.75" customHeight="1" x14ac:dyDescent="0.25">
      <c r="A14" s="25"/>
      <c r="B14" s="49" t="s">
        <v>35</v>
      </c>
      <c r="C14" s="58" t="s">
        <v>225</v>
      </c>
      <c r="D14" s="64"/>
      <c r="E14" s="63"/>
      <c r="F14" s="63"/>
      <c r="G14" s="63"/>
      <c r="H14" s="63"/>
      <c r="I14" s="54" t="s">
        <v>239</v>
      </c>
      <c r="J14" s="74" t="str">
        <f t="shared" si="0"/>
        <v>x</v>
      </c>
      <c r="K14" s="75" t="str">
        <f t="shared" si="1"/>
        <v/>
      </c>
      <c r="L14" s="76" t="str">
        <f>IF(AND(G14="",H14="",I14=""),"","Erstellung einer Energiebilanz über das gesamte Gemeindegebiet.")</f>
        <v>Erstellung einer Energiebilanz über das gesamte Gemeindegebiet.</v>
      </c>
      <c r="M14" s="25"/>
    </row>
    <row r="15" spans="1:13" ht="29.25" customHeight="1" x14ac:dyDescent="0.25">
      <c r="A15" s="25"/>
      <c r="B15" s="49" t="s">
        <v>36</v>
      </c>
      <c r="C15" s="58" t="s">
        <v>37</v>
      </c>
      <c r="D15" s="64"/>
      <c r="E15" s="63"/>
      <c r="F15" s="63"/>
      <c r="G15" s="63"/>
      <c r="H15" s="63"/>
      <c r="I15" s="54" t="s">
        <v>239</v>
      </c>
      <c r="J15" s="74" t="str">
        <f t="shared" si="0"/>
        <v>x</v>
      </c>
      <c r="K15" s="75" t="str">
        <f t="shared" si="1"/>
        <v/>
      </c>
      <c r="L15" s="76" t="str">
        <f>IF(AND(G15="",H15="",I15=""),"","Erstellung eines kommunalen Energiekonzeptes.")</f>
        <v>Erstellung eines kommunalen Energiekonzeptes.</v>
      </c>
      <c r="M15" s="25"/>
    </row>
    <row r="16" spans="1:13" ht="33" customHeight="1" x14ac:dyDescent="0.25">
      <c r="A16" s="25"/>
      <c r="B16" s="49" t="s">
        <v>38</v>
      </c>
      <c r="C16" s="58" t="s">
        <v>39</v>
      </c>
      <c r="D16" s="64"/>
      <c r="E16" s="63"/>
      <c r="F16" s="63"/>
      <c r="G16" s="63"/>
      <c r="H16" s="63"/>
      <c r="I16" s="54" t="s">
        <v>239</v>
      </c>
      <c r="J16" s="74" t="str">
        <f t="shared" si="0"/>
        <v>x</v>
      </c>
      <c r="K16" s="75" t="str">
        <f t="shared" si="1"/>
        <v/>
      </c>
      <c r="L16" s="76" t="str">
        <f>IF(AND(G16="",H16="",I16=""),"","Erstellung eines Mobilitätskonzeptes.")</f>
        <v>Erstellung eines Mobilitätskonzeptes.</v>
      </c>
      <c r="M16" s="25"/>
    </row>
    <row r="17" spans="1:15" ht="46.5" customHeight="1" x14ac:dyDescent="0.25">
      <c r="A17" s="25"/>
      <c r="B17" s="49" t="s">
        <v>40</v>
      </c>
      <c r="C17" s="58" t="s">
        <v>41</v>
      </c>
      <c r="D17" s="64"/>
      <c r="E17" s="63"/>
      <c r="F17" s="63"/>
      <c r="G17" s="63"/>
      <c r="H17" s="63"/>
      <c r="I17" s="54" t="s">
        <v>239</v>
      </c>
      <c r="J17" s="74" t="str">
        <f t="shared" si="0"/>
        <v>x</v>
      </c>
      <c r="K17" s="75" t="str">
        <f t="shared" si="1"/>
        <v/>
      </c>
      <c r="L17" s="76" t="str">
        <f>IF(AND(G17="",H17="",I17=""),"","Einbindung von energetischen Themenfeldern in die räumlichen Entwicklungskonzepte und in die Flächenwidmungsplanung.")</f>
        <v>Einbindung von energetischen Themenfeldern in die räumlichen Entwicklungskonzepte und in die Flächenwidmungsplanung.</v>
      </c>
      <c r="M17" s="25"/>
    </row>
    <row r="18" spans="1:15" ht="34.5" customHeight="1" x14ac:dyDescent="0.25">
      <c r="A18" s="25"/>
      <c r="B18" s="50" t="s">
        <v>42</v>
      </c>
      <c r="C18" s="58" t="s">
        <v>43</v>
      </c>
      <c r="D18" s="65"/>
      <c r="E18" s="256"/>
      <c r="F18" s="256"/>
      <c r="G18" s="256"/>
      <c r="H18" s="256"/>
      <c r="I18" s="256"/>
      <c r="J18" s="74"/>
      <c r="K18" s="75" t="str">
        <f>IF(AND(E18="",F18="",G18="",H18="",I18="",D18=""),"Maßnahmen fehlen",IF(COUNTA(E18:I18)&gt;1, "Nur eine Bewertung pro Bereich möglich", ""))</f>
        <v>Maßnahmen fehlen</v>
      </c>
      <c r="L18" s="76"/>
      <c r="M18" s="25"/>
    </row>
    <row r="19" spans="1:15" ht="38.25" x14ac:dyDescent="0.25">
      <c r="A19" s="25"/>
      <c r="B19" s="49" t="s">
        <v>44</v>
      </c>
      <c r="C19" s="58" t="s">
        <v>248</v>
      </c>
      <c r="D19" s="64"/>
      <c r="E19" s="63"/>
      <c r="F19" s="63"/>
      <c r="G19" s="63"/>
      <c r="H19" s="63"/>
      <c r="I19" s="54" t="s">
        <v>239</v>
      </c>
      <c r="J19" s="74" t="str">
        <f>IF(AND(E19="",F19="",G19="",H19="",I19=""),"","x")</f>
        <v>x</v>
      </c>
      <c r="K19" s="75" t="str">
        <f>IF(AND(E19="",F19="",G19="",H19="",I19=""),"Eingabe fehlt",IF(COUNTA(E19:I19)&gt;1, "Nur eine Bewertung pro Unterbereich möglich", ""))</f>
        <v/>
      </c>
      <c r="L19" s="76" t="str">
        <f>IF(AND(G19="",H19="",I19=""),"","Erstellung einer gemeindespezifischen Beschaffungsrichtlinie.")</f>
        <v>Erstellung einer gemeindespezifischen Beschaffungsrichtlinie.</v>
      </c>
      <c r="M19" s="25"/>
    </row>
    <row r="20" spans="1:15" ht="24.75" customHeight="1" x14ac:dyDescent="0.25">
      <c r="A20" s="25"/>
      <c r="B20" s="50" t="s">
        <v>45</v>
      </c>
      <c r="C20" s="58" t="s">
        <v>46</v>
      </c>
      <c r="D20" s="65"/>
      <c r="E20" s="256"/>
      <c r="F20" s="256"/>
      <c r="G20" s="256"/>
      <c r="H20" s="256"/>
      <c r="I20" s="256"/>
      <c r="J20" s="74"/>
      <c r="K20" s="75" t="str">
        <f>IF(AND(E20="",F20="",G20="",H20="",I20="",D20=""),"Eingabe fehlt",IF(COUNTA(E20:I20)&gt;1, "Nur eine Bewertung pro Bereich möglich", ""))</f>
        <v>Eingabe fehlt</v>
      </c>
      <c r="L20" s="76"/>
      <c r="M20" s="25"/>
    </row>
    <row r="21" spans="1:15" ht="35.25" customHeight="1" x14ac:dyDescent="0.25">
      <c r="A21" s="25"/>
      <c r="B21" s="49" t="s">
        <v>47</v>
      </c>
      <c r="C21" s="58" t="s">
        <v>48</v>
      </c>
      <c r="D21" s="66"/>
      <c r="E21" s="63"/>
      <c r="F21" s="63"/>
      <c r="G21" s="63"/>
      <c r="H21" s="63"/>
      <c r="I21" s="54" t="s">
        <v>239</v>
      </c>
      <c r="J21" s="74" t="str">
        <f t="shared" ref="J21:J25" si="2">IF(AND(E21="",F21="",G21="",H21="",I21=""),"","x")</f>
        <v>x</v>
      </c>
      <c r="K21" s="75" t="str">
        <f>IF(AND(E21="",F21="",G21="",H21="",I21=""),"Eingabe fehlt",IF(COUNTA(E21:I21)&gt;1, "Nur eine Bewertung pro Unterbereich möglich", ""))</f>
        <v/>
      </c>
      <c r="L21" s="76" t="str">
        <f>IF(AND(G21="",H21="",I21=""),"","Errichtung der energierelevanten Strukturen in der Gemeindeverwaltung und Politik.")</f>
        <v>Errichtung der energierelevanten Strukturen in der Gemeindeverwaltung und Politik.</v>
      </c>
      <c r="M21" s="25"/>
    </row>
    <row r="22" spans="1:15" ht="39" customHeight="1" x14ac:dyDescent="0.25">
      <c r="A22" s="25"/>
      <c r="B22" s="49" t="s">
        <v>49</v>
      </c>
      <c r="C22" s="58" t="s">
        <v>50</v>
      </c>
      <c r="D22" s="66"/>
      <c r="E22" s="63"/>
      <c r="F22" s="63"/>
      <c r="G22" s="63"/>
      <c r="H22" s="63"/>
      <c r="I22" s="54" t="s">
        <v>239</v>
      </c>
      <c r="J22" s="74" t="str">
        <f t="shared" si="2"/>
        <v>x</v>
      </c>
      <c r="K22" s="75" t="str">
        <f>IF(AND(E22="",F22="",G22="",H22="",I22=""),"Eingabe fehlt",IF(COUNTA(E22:I22)&gt;1, "Nur eine Bewertung pro Unterbereich möglich", ""))</f>
        <v/>
      </c>
      <c r="L22" s="76" t="str">
        <f>IF(AND(G22="",H22="",I22=""),"","Errichtung der energierelevanten Strukturen in der Gemeindeverwaltung und Politik.")</f>
        <v>Errichtung der energierelevanten Strukturen in der Gemeindeverwaltung und Politik.</v>
      </c>
      <c r="M22" s="25"/>
    </row>
    <row r="23" spans="1:15" ht="36" customHeight="1" x14ac:dyDescent="0.25">
      <c r="A23" s="25"/>
      <c r="B23" s="50" t="s">
        <v>51</v>
      </c>
      <c r="C23" s="58" t="s">
        <v>249</v>
      </c>
      <c r="D23" s="67"/>
      <c r="E23" s="256"/>
      <c r="F23" s="256"/>
      <c r="G23" s="256"/>
      <c r="H23" s="256"/>
      <c r="I23" s="256"/>
      <c r="J23" s="74"/>
      <c r="K23" s="75" t="str">
        <f>IF(AND(E23="",F23="",G23="",H23="",I23="",D23=""),"Maßnahmen fehlen",IF(COUNTA(E23:I23)&gt;1, "Nur eine Bewertung pro Bereich möglich", ""))</f>
        <v>Maßnahmen fehlen</v>
      </c>
      <c r="L23" s="76"/>
      <c r="M23" s="25"/>
    </row>
    <row r="24" spans="1:15" ht="53.25" customHeight="1" x14ac:dyDescent="0.25">
      <c r="A24" s="25"/>
      <c r="B24" s="49" t="s">
        <v>52</v>
      </c>
      <c r="C24" s="58" t="s">
        <v>250</v>
      </c>
      <c r="D24" s="64"/>
      <c r="E24" s="63"/>
      <c r="F24" s="63"/>
      <c r="G24" s="63"/>
      <c r="H24" s="63"/>
      <c r="I24" s="54" t="s">
        <v>239</v>
      </c>
      <c r="J24" s="74" t="str">
        <f t="shared" si="2"/>
        <v>x</v>
      </c>
      <c r="K24" s="75" t="str">
        <f>IF(AND(E24="",F24="",G24="",H24="",I24=""),"Eingabe fehlt",IF(COUNTA(E24:I24)&gt;1, "Nur eine Bewertung pro Unterbereich möglich", ""))</f>
        <v/>
      </c>
      <c r="L24" s="76" t="str">
        <f>IF(AND(G24="",H24="",I24=""),"","Umwelt- und Energieaktivitäten sind im jährlichen Budget zu fixieren.")</f>
        <v>Umwelt- und Energieaktivitäten sind im jährlichen Budget zu fixieren.</v>
      </c>
      <c r="M24" s="25"/>
    </row>
    <row r="25" spans="1:15" ht="46.5" customHeight="1" thickBot="1" x14ac:dyDescent="0.3">
      <c r="A25" s="25"/>
      <c r="B25" s="51" t="s">
        <v>53</v>
      </c>
      <c r="C25" s="59" t="s">
        <v>54</v>
      </c>
      <c r="D25" s="68"/>
      <c r="E25" s="69"/>
      <c r="F25" s="69"/>
      <c r="G25" s="69"/>
      <c r="H25" s="69"/>
      <c r="I25" s="81" t="s">
        <v>239</v>
      </c>
      <c r="J25" s="77" t="str">
        <f t="shared" si="2"/>
        <v>x</v>
      </c>
      <c r="K25" s="78" t="str">
        <f>IF(AND(E25="",F25="",G25="",H25="",I25=""),"Eingabe fehlt",IF(COUNTA(E25:I25)&gt;1, "Nur eine Bewertung pro Unterbereich möglich", ""))</f>
        <v/>
      </c>
      <c r="L25" s="79" t="str">
        <f>IF(AND(G25="",H25="",I25=""),"","Motivation der Mitarbeiter an Schulungen teilzunehmen. Zeit und Finanzressourcen für Weiterbildungsmaßnahmen zur Verfügung stellen.")</f>
        <v>Motivation der Mitarbeiter an Schulungen teilzunehmen. Zeit und Finanzressourcen für Weiterbildungsmaßnahmen zur Verfügung stellen.</v>
      </c>
      <c r="M25" s="25"/>
    </row>
    <row r="26" spans="1:15" x14ac:dyDescent="0.25">
      <c r="A26" s="25"/>
      <c r="B26" s="25"/>
      <c r="C26" s="70"/>
      <c r="D26" s="70"/>
      <c r="E26" s="25"/>
      <c r="F26" s="25"/>
      <c r="G26" s="25"/>
      <c r="H26" s="25"/>
      <c r="I26" s="25"/>
      <c r="J26" s="25"/>
      <c r="K26" s="25"/>
      <c r="L26" s="25"/>
      <c r="M26" s="25"/>
    </row>
    <row r="27" spans="1:15" ht="15.75" x14ac:dyDescent="0.25">
      <c r="A27" s="25"/>
      <c r="B27" s="42"/>
      <c r="C27" s="43">
        <f>IF(L35="","",L35)</f>
        <v>5</v>
      </c>
      <c r="D27" s="44" t="s">
        <v>223</v>
      </c>
      <c r="E27" s="43" t="str">
        <f t="shared" ref="E27:L27" si="3">IF(N35="","",N35)</f>
        <v/>
      </c>
      <c r="F27" s="43" t="str">
        <f t="shared" si="3"/>
        <v/>
      </c>
      <c r="G27" s="43" t="str">
        <f t="shared" si="3"/>
        <v/>
      </c>
      <c r="H27" s="43" t="str">
        <f t="shared" si="3"/>
        <v/>
      </c>
      <c r="I27" s="43" t="str">
        <f t="shared" si="3"/>
        <v/>
      </c>
      <c r="J27" s="43" t="str">
        <f t="shared" si="3"/>
        <v/>
      </c>
      <c r="K27" s="43" t="str">
        <f t="shared" si="3"/>
        <v/>
      </c>
      <c r="L27" s="43" t="str">
        <f t="shared" si="3"/>
        <v/>
      </c>
      <c r="M27" s="25"/>
    </row>
    <row r="28" spans="1:15" x14ac:dyDescent="0.25">
      <c r="A28" s="25"/>
      <c r="B28" s="25"/>
      <c r="C28" s="25"/>
      <c r="D28" s="25"/>
      <c r="E28" s="25"/>
      <c r="F28" s="25"/>
      <c r="G28" s="25"/>
      <c r="H28" s="25"/>
      <c r="I28" s="40"/>
      <c r="J28" s="40"/>
      <c r="K28" s="40"/>
      <c r="L28" s="40"/>
      <c r="M28" s="40"/>
      <c r="N28" s="41"/>
      <c r="O28" s="41"/>
    </row>
    <row r="29" spans="1:15" x14ac:dyDescent="0.25">
      <c r="A29" s="25"/>
      <c r="B29" s="45"/>
      <c r="C29" s="25"/>
      <c r="D29" s="25"/>
      <c r="E29" s="26"/>
      <c r="F29" s="26"/>
      <c r="G29" s="26"/>
      <c r="H29" s="26"/>
      <c r="I29" s="26"/>
      <c r="J29" s="26"/>
      <c r="K29" s="26"/>
      <c r="L29" s="26"/>
      <c r="M29" s="26"/>
      <c r="N29" s="41"/>
      <c r="O29" s="41"/>
    </row>
    <row r="30" spans="1:15" x14ac:dyDescent="0.25">
      <c r="A30" s="25"/>
      <c r="B30" s="26" t="str">
        <f>IF(E18="","",E18)</f>
        <v/>
      </c>
      <c r="C30" s="25"/>
      <c r="D30" s="25"/>
      <c r="E30" s="26">
        <f>COUNTIF(E10:E17,"")</f>
        <v>8</v>
      </c>
      <c r="F30" s="26">
        <f>COUNTIF(F10:F17,"")</f>
        <v>8</v>
      </c>
      <c r="G30" s="26">
        <f>COUNTIF(G10:G17,"")</f>
        <v>8</v>
      </c>
      <c r="H30" s="26">
        <f>COUNTIF(H10:H17,"")</f>
        <v>8</v>
      </c>
      <c r="I30" s="26">
        <f>COUNTIF(I10:I17,"")</f>
        <v>0</v>
      </c>
      <c r="J30" s="26"/>
      <c r="K30" s="26"/>
      <c r="L30" s="26"/>
      <c r="M30" s="26"/>
      <c r="N30" s="41"/>
      <c r="O30" s="41"/>
    </row>
    <row r="31" spans="1:15" x14ac:dyDescent="0.25">
      <c r="A31" s="25"/>
      <c r="B31" s="26" t="str">
        <f>IF(E20="","",E20)</f>
        <v/>
      </c>
      <c r="C31" s="25"/>
      <c r="D31" s="25"/>
      <c r="E31" s="26">
        <f>COUNTIF(E19,"")</f>
        <v>1</v>
      </c>
      <c r="F31" s="26">
        <f>COUNTIF(F19,"")</f>
        <v>1</v>
      </c>
      <c r="G31" s="26">
        <f>COUNTIF(G19,"")</f>
        <v>1</v>
      </c>
      <c r="H31" s="26">
        <f>COUNTIF(H19,"")</f>
        <v>1</v>
      </c>
      <c r="I31" s="26">
        <f>COUNTIF(I19,"")</f>
        <v>0</v>
      </c>
      <c r="J31" s="26"/>
      <c r="K31" s="26"/>
      <c r="L31" s="26"/>
      <c r="M31" s="26"/>
      <c r="N31" s="41"/>
      <c r="O31" s="41"/>
    </row>
    <row r="32" spans="1:15" x14ac:dyDescent="0.25">
      <c r="A32" s="25"/>
      <c r="B32" s="26" t="str">
        <f>IF(E23="","",E23)</f>
        <v/>
      </c>
      <c r="C32" s="25"/>
      <c r="D32" s="25"/>
      <c r="E32" s="26">
        <f>COUNTIF(E21:E22,"")</f>
        <v>2</v>
      </c>
      <c r="F32" s="26">
        <f>COUNTIF(F21:F22,"")</f>
        <v>2</v>
      </c>
      <c r="G32" s="26">
        <f>COUNTIF(G21:G22,"")</f>
        <v>2</v>
      </c>
      <c r="H32" s="26">
        <f>COUNTIF(H21:H22,"")</f>
        <v>2</v>
      </c>
      <c r="I32" s="26">
        <f>COUNTIF(I21:I22,"")</f>
        <v>0</v>
      </c>
      <c r="J32" s="26"/>
      <c r="K32" s="26"/>
      <c r="L32" s="26"/>
      <c r="M32" s="26"/>
      <c r="N32" s="41"/>
      <c r="O32" s="41"/>
    </row>
    <row r="33" spans="1:15" x14ac:dyDescent="0.25">
      <c r="A33" s="25"/>
      <c r="B33" s="45"/>
      <c r="C33" s="25"/>
      <c r="D33" s="25"/>
      <c r="E33" s="26">
        <f>COUNTIF(E24:E25,"")</f>
        <v>2</v>
      </c>
      <c r="F33" s="26">
        <f>COUNTIF(F24:F25,"")</f>
        <v>2</v>
      </c>
      <c r="G33" s="26">
        <f>COUNTIF(G24:G25,"")</f>
        <v>2</v>
      </c>
      <c r="H33" s="26">
        <f>COUNTIF(H24:H25,"")</f>
        <v>2</v>
      </c>
      <c r="I33" s="26">
        <f>COUNTIF(I24:I25,"")</f>
        <v>0</v>
      </c>
      <c r="J33" s="26"/>
      <c r="K33" s="26"/>
      <c r="L33" s="26"/>
      <c r="M33" s="26"/>
      <c r="N33" s="41"/>
      <c r="O33" s="41"/>
    </row>
    <row r="34" spans="1:15" x14ac:dyDescent="0.25">
      <c r="A34" s="25"/>
      <c r="B34" s="45"/>
      <c r="C34" s="25"/>
      <c r="D34" s="25"/>
      <c r="E34" s="26">
        <f>(8-E30)+(1-E31)+(2-E32)+(2-E33)</f>
        <v>0</v>
      </c>
      <c r="F34" s="26">
        <f>(8-F30)+(1-F31)+(2-F32)+(2-F33)</f>
        <v>0</v>
      </c>
      <c r="G34" s="26">
        <f>(8-G30)+(1-G31)+(2-G32)+(2-G33)</f>
        <v>0</v>
      </c>
      <c r="H34" s="26">
        <f>(8-H30)+(1-H31)+(2-H32)+(2-H33)</f>
        <v>0</v>
      </c>
      <c r="I34" s="26">
        <f>(8-I30)+(1-I31)+(2-I32)+(2-I33)</f>
        <v>13</v>
      </c>
      <c r="J34" s="26"/>
      <c r="K34" s="26">
        <v>95</v>
      </c>
      <c r="L34" s="27" t="s">
        <v>204</v>
      </c>
      <c r="M34" s="26"/>
      <c r="N34" s="41"/>
      <c r="O34" s="41"/>
    </row>
    <row r="35" spans="1:15" x14ac:dyDescent="0.25">
      <c r="A35" s="25"/>
      <c r="B35" s="45"/>
      <c r="C35" s="25"/>
      <c r="D35" s="25"/>
      <c r="E35" s="26">
        <f>E34*E39/$E$37</f>
        <v>0</v>
      </c>
      <c r="F35" s="26">
        <f>F34*F39/$E$37</f>
        <v>0</v>
      </c>
      <c r="G35" s="26">
        <f>G34*G39/$E$37</f>
        <v>0</v>
      </c>
      <c r="H35" s="26">
        <f>H34*H39/$E$37</f>
        <v>0</v>
      </c>
      <c r="I35" s="26">
        <f>I34*I39/$E$37</f>
        <v>4.75</v>
      </c>
      <c r="J35" s="26"/>
      <c r="K35" s="26">
        <f>IF(AND(K10="",K11="",K12="",K13="",K14="",K15="",K16="",K17="",K19="",K21="",K22="",K24="",K25=""),E35+F35+G35+H35+I35,"")</f>
        <v>4.75</v>
      </c>
      <c r="L35" s="28">
        <f>IF(K35="","",K35*100/K34)</f>
        <v>5</v>
      </c>
      <c r="M35" s="26"/>
      <c r="N35" s="41"/>
      <c r="O35" s="41"/>
    </row>
    <row r="36" spans="1:15" x14ac:dyDescent="0.25">
      <c r="A36" s="25"/>
      <c r="B36" s="45"/>
      <c r="C36" s="25"/>
      <c r="D36" s="25"/>
      <c r="E36" s="26"/>
      <c r="F36" s="26"/>
      <c r="G36" s="26"/>
      <c r="H36" s="26"/>
      <c r="I36" s="26"/>
      <c r="J36" s="26"/>
      <c r="K36" s="26"/>
      <c r="L36" s="26"/>
      <c r="M36" s="26"/>
      <c r="N36" s="41"/>
      <c r="O36" s="41"/>
    </row>
    <row r="37" spans="1:15" ht="12.75" customHeight="1" x14ac:dyDescent="0.25">
      <c r="A37" s="25"/>
      <c r="B37" s="45"/>
      <c r="C37" s="25"/>
      <c r="D37" s="25"/>
      <c r="E37" s="26">
        <f>13*5-SUM(E30:I33)</f>
        <v>13</v>
      </c>
      <c r="F37" s="26"/>
      <c r="G37" s="26"/>
      <c r="H37" s="26"/>
      <c r="I37" s="26"/>
      <c r="J37" s="26"/>
      <c r="K37" s="26"/>
      <c r="L37" s="26"/>
      <c r="M37" s="26"/>
      <c r="N37" s="41"/>
      <c r="O37" s="41"/>
    </row>
    <row r="38" spans="1:15" hidden="1" x14ac:dyDescent="0.25">
      <c r="A38" s="25"/>
      <c r="B38" s="45"/>
      <c r="C38" s="25"/>
      <c r="D38" s="25"/>
      <c r="E38" s="26"/>
      <c r="F38" s="26"/>
      <c r="G38" s="26"/>
      <c r="H38" s="26"/>
      <c r="I38" s="40"/>
      <c r="J38" s="40"/>
      <c r="K38" s="40"/>
      <c r="L38" s="40"/>
      <c r="M38" s="40"/>
      <c r="N38" s="41"/>
      <c r="O38" s="41"/>
    </row>
    <row r="39" spans="1:15" hidden="1" x14ac:dyDescent="0.25">
      <c r="A39" s="25"/>
      <c r="B39" s="45"/>
      <c r="C39" s="25"/>
      <c r="D39" s="25"/>
      <c r="E39" s="26">
        <v>95</v>
      </c>
      <c r="F39" s="26">
        <v>71.25</v>
      </c>
      <c r="G39" s="26">
        <v>47.5</v>
      </c>
      <c r="H39" s="26">
        <v>23.75</v>
      </c>
      <c r="I39" s="40">
        <v>4.75</v>
      </c>
      <c r="J39" s="40"/>
      <c r="K39" s="40"/>
      <c r="L39" s="40"/>
      <c r="M39" s="40"/>
      <c r="N39" s="41"/>
      <c r="O39" s="41"/>
    </row>
    <row r="40" spans="1:15" ht="11.25" hidden="1" customHeight="1" x14ac:dyDescent="0.25">
      <c r="A40" s="25"/>
      <c r="B40" s="45"/>
      <c r="C40" s="25"/>
      <c r="D40" s="25"/>
      <c r="E40" s="26"/>
      <c r="F40" s="26"/>
      <c r="G40" s="26"/>
      <c r="H40" s="26"/>
      <c r="I40" s="40"/>
      <c r="J40" s="40"/>
      <c r="K40" s="40"/>
      <c r="L40" s="40"/>
      <c r="M40" s="40"/>
      <c r="N40" s="41"/>
      <c r="O40" s="41"/>
    </row>
    <row r="41" spans="1:15" ht="21" customHeight="1" x14ac:dyDescent="0.25">
      <c r="A41" s="25"/>
      <c r="B41" s="45"/>
      <c r="C41" s="25"/>
      <c r="D41" s="25"/>
      <c r="E41" s="26"/>
      <c r="F41" s="26"/>
      <c r="G41" s="26"/>
      <c r="H41" s="26"/>
      <c r="I41" s="40"/>
      <c r="J41" s="40"/>
      <c r="K41" s="40"/>
      <c r="L41" s="40"/>
      <c r="M41" s="40"/>
      <c r="N41" s="41"/>
      <c r="O41" s="41"/>
    </row>
    <row r="42" spans="1:15" ht="48" customHeight="1" x14ac:dyDescent="0.25">
      <c r="A42" s="25"/>
      <c r="B42" s="45"/>
      <c r="C42" s="25"/>
      <c r="D42" s="25"/>
      <c r="E42" s="25"/>
      <c r="F42" s="25"/>
      <c r="G42" s="25"/>
      <c r="H42" s="25"/>
      <c r="I42" s="40"/>
      <c r="J42" s="40"/>
      <c r="K42" s="40"/>
      <c r="L42" s="40"/>
      <c r="M42" s="40"/>
      <c r="N42" s="41"/>
      <c r="O42" s="41"/>
    </row>
    <row r="43" spans="1:15" x14ac:dyDescent="0.25">
      <c r="A43" s="25"/>
      <c r="B43" s="25"/>
      <c r="C43" s="25"/>
      <c r="D43" s="25"/>
      <c r="E43" s="25"/>
      <c r="F43" s="25"/>
      <c r="G43" s="25"/>
      <c r="H43" s="25"/>
      <c r="I43" s="40"/>
      <c r="J43" s="40"/>
      <c r="K43" s="40"/>
      <c r="L43" s="40"/>
      <c r="M43" s="40"/>
      <c r="N43" s="41"/>
      <c r="O43" s="41"/>
    </row>
    <row r="44" spans="1:15" x14ac:dyDescent="0.25">
      <c r="A44" s="25"/>
      <c r="B44" s="25"/>
      <c r="C44" s="25"/>
      <c r="D44" s="25"/>
      <c r="E44" s="25"/>
      <c r="F44" s="25"/>
      <c r="G44" s="25"/>
      <c r="H44" s="25"/>
      <c r="I44" s="40"/>
      <c r="J44" s="40"/>
      <c r="K44" s="40"/>
      <c r="L44" s="40"/>
      <c r="M44" s="40"/>
      <c r="N44" s="41"/>
      <c r="O44" s="41"/>
    </row>
    <row r="45" spans="1:15" x14ac:dyDescent="0.25">
      <c r="I45" s="41"/>
      <c r="J45" s="41"/>
      <c r="K45" s="41"/>
      <c r="L45" s="41"/>
      <c r="M45" s="41"/>
      <c r="N45" s="41"/>
      <c r="O45" s="41"/>
    </row>
    <row r="46" spans="1:15" x14ac:dyDescent="0.25">
      <c r="I46" s="41"/>
      <c r="J46" s="41"/>
      <c r="K46" s="41"/>
      <c r="L46" s="41"/>
      <c r="M46" s="41"/>
      <c r="N46" s="41"/>
      <c r="O46" s="41"/>
    </row>
    <row r="47" spans="1:15" x14ac:dyDescent="0.25">
      <c r="I47" s="41"/>
      <c r="J47" s="41"/>
      <c r="K47" s="41"/>
      <c r="L47" s="41"/>
      <c r="M47" s="41"/>
      <c r="N47" s="41"/>
      <c r="O47" s="41"/>
    </row>
    <row r="48" spans="1:15" x14ac:dyDescent="0.25">
      <c r="I48" s="41"/>
      <c r="J48" s="41"/>
      <c r="K48" s="41"/>
      <c r="L48" s="41"/>
      <c r="M48" s="41"/>
      <c r="N48" s="41"/>
      <c r="O48" s="41"/>
    </row>
  </sheetData>
  <sheetProtection algorithmName="SHA-512" hashValue="elYc/9qYggzeRrNuSaDsZDnFzhC7RJcAk2pccMbgN2i+xRzyb/lGixdNZ63FFnGpXk33Qa1ScABYXgAb4Xor2w==" saltValue="OCKZzgsrzr5g+jjoeT9Xlw==" spinCount="100000" sheet="1" objects="1" scenarios="1" formatRows="0"/>
  <mergeCells count="9">
    <mergeCell ref="J7:L8"/>
    <mergeCell ref="E18:I18"/>
    <mergeCell ref="E20:I20"/>
    <mergeCell ref="E23:I23"/>
    <mergeCell ref="B7:B8"/>
    <mergeCell ref="C7:C8"/>
    <mergeCell ref="D7:D8"/>
    <mergeCell ref="E7:I7"/>
    <mergeCell ref="C9:D9"/>
  </mergeCells>
  <pageMargins left="0.7" right="0.7" top="0.78740157499999996" bottom="0.78740157499999996" header="0.3" footer="0.3"/>
  <pageSetup paperSize="4318" scale="56" fitToHeight="0" orientation="landscape" r:id="rId1"/>
  <ignoredErrors>
    <ignoredError sqref="L19 L21 K23 J19 K18:K20" formula="1"/>
    <ignoredError sqref="E30:E33"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09C09-96AA-4AFD-87EF-E64DFBD72726}">
  <sheetPr>
    <pageSetUpPr fitToPage="1"/>
  </sheetPr>
  <dimension ref="A1:M46"/>
  <sheetViews>
    <sheetView topLeftCell="A2" zoomScale="90" zoomScaleNormal="90" workbookViewId="0">
      <selection activeCell="A6" sqref="A6:XFD6"/>
    </sheetView>
  </sheetViews>
  <sheetFormatPr baseColWidth="10" defaultRowHeight="15" x14ac:dyDescent="0.25"/>
  <cols>
    <col min="1" max="1" width="2.85546875" customWidth="1"/>
    <col min="2" max="2" width="9.7109375" customWidth="1"/>
    <col min="3" max="3" width="63.7109375" customWidth="1"/>
    <col min="4" max="4" width="44.7109375" customWidth="1"/>
    <col min="5" max="9" width="4.7109375" customWidth="1"/>
    <col min="10" max="10" width="10.28515625" customWidth="1"/>
    <col min="11" max="11" width="13.140625" customWidth="1"/>
    <col min="12" max="12" width="47.7109375" customWidth="1"/>
  </cols>
  <sheetData>
    <row r="1" spans="1:13" ht="15.95" customHeight="1" x14ac:dyDescent="0.25">
      <c r="A1" s="25"/>
      <c r="B1" s="6"/>
      <c r="C1" s="6"/>
      <c r="D1" s="6"/>
      <c r="E1" s="6"/>
      <c r="F1" s="6"/>
      <c r="G1" s="6"/>
      <c r="H1" s="6"/>
      <c r="I1" s="6"/>
      <c r="J1" s="6"/>
      <c r="K1" s="6"/>
      <c r="L1" s="6"/>
    </row>
    <row r="2" spans="1:13" ht="15.95" customHeight="1" x14ac:dyDescent="0.25">
      <c r="A2" s="25"/>
      <c r="B2" s="8"/>
      <c r="C2" s="8"/>
      <c r="D2" s="8"/>
      <c r="E2" s="8"/>
      <c r="F2" s="8"/>
      <c r="G2" s="8"/>
      <c r="H2" s="9" t="s">
        <v>2</v>
      </c>
      <c r="I2" s="8"/>
      <c r="J2" s="8"/>
      <c r="K2" s="8"/>
      <c r="L2" s="8"/>
      <c r="M2" s="25"/>
    </row>
    <row r="3" spans="1:13" ht="15.95" customHeight="1" x14ac:dyDescent="0.25">
      <c r="A3" s="25"/>
      <c r="B3" s="8"/>
      <c r="C3" s="8"/>
      <c r="D3" s="8"/>
      <c r="E3" s="8"/>
      <c r="F3" s="8"/>
      <c r="G3" s="8"/>
      <c r="H3" s="10" t="s">
        <v>3</v>
      </c>
      <c r="I3" s="8"/>
      <c r="J3" s="8"/>
      <c r="K3" s="8"/>
      <c r="L3" s="8"/>
      <c r="M3" s="25"/>
    </row>
    <row r="4" spans="1:13" ht="15.95" customHeight="1" x14ac:dyDescent="0.25">
      <c r="A4" s="25"/>
      <c r="B4" s="8"/>
      <c r="C4" s="8"/>
      <c r="D4" s="8"/>
      <c r="E4" s="8"/>
      <c r="F4" s="8"/>
      <c r="G4" s="8"/>
      <c r="H4" s="10" t="str">
        <f>'KlimaGemeinde Light'!D17</f>
        <v>Kugelschreiber</v>
      </c>
      <c r="I4" s="8"/>
      <c r="J4" s="8"/>
      <c r="K4" s="8"/>
      <c r="L4" s="8"/>
      <c r="M4" s="25"/>
    </row>
    <row r="5" spans="1:13" ht="15.95" customHeight="1" x14ac:dyDescent="0.25">
      <c r="A5" s="25"/>
      <c r="B5" s="8"/>
      <c r="C5" s="8"/>
      <c r="D5" s="6"/>
      <c r="E5" s="8"/>
      <c r="F5" s="6"/>
      <c r="G5" s="6"/>
      <c r="H5" s="6"/>
      <c r="I5" s="6"/>
      <c r="J5" s="6"/>
      <c r="K5" s="6"/>
      <c r="L5" s="6"/>
      <c r="M5" s="25"/>
    </row>
    <row r="6" spans="1:13" ht="15.75" customHeight="1" thickBot="1" x14ac:dyDescent="0.3">
      <c r="A6" s="25"/>
      <c r="B6" s="25"/>
      <c r="C6" s="25"/>
      <c r="D6" s="25"/>
      <c r="E6" s="25"/>
      <c r="F6" s="25"/>
      <c r="G6" s="25"/>
      <c r="H6" s="25"/>
      <c r="I6" s="25"/>
      <c r="J6" s="25"/>
      <c r="K6" s="25"/>
      <c r="L6" s="25"/>
      <c r="M6" s="25"/>
    </row>
    <row r="7" spans="1:13" x14ac:dyDescent="0.25">
      <c r="A7" s="25"/>
      <c r="B7" s="257" t="s">
        <v>19</v>
      </c>
      <c r="C7" s="257" t="s">
        <v>20</v>
      </c>
      <c r="D7" s="257" t="s">
        <v>21</v>
      </c>
      <c r="E7" s="259" t="s">
        <v>22</v>
      </c>
      <c r="F7" s="260"/>
      <c r="G7" s="260"/>
      <c r="H7" s="260"/>
      <c r="I7" s="260"/>
      <c r="J7" s="250"/>
      <c r="K7" s="251"/>
      <c r="L7" s="252"/>
      <c r="M7" s="25"/>
    </row>
    <row r="8" spans="1:13" ht="15.75" thickBot="1" x14ac:dyDescent="0.3">
      <c r="A8" s="25"/>
      <c r="B8" s="258"/>
      <c r="C8" s="258"/>
      <c r="D8" s="258"/>
      <c r="E8" s="11">
        <v>1</v>
      </c>
      <c r="F8" s="12">
        <v>2</v>
      </c>
      <c r="G8" s="12">
        <v>3</v>
      </c>
      <c r="H8" s="13">
        <v>4</v>
      </c>
      <c r="I8" s="107">
        <v>5</v>
      </c>
      <c r="J8" s="253"/>
      <c r="K8" s="254"/>
      <c r="L8" s="255"/>
      <c r="M8" s="25"/>
    </row>
    <row r="9" spans="1:13" ht="15.75" thickBot="1" x14ac:dyDescent="0.3">
      <c r="A9" s="25"/>
      <c r="B9" s="23" t="s">
        <v>75</v>
      </c>
      <c r="C9" s="262" t="s">
        <v>87</v>
      </c>
      <c r="D9" s="264"/>
      <c r="E9" s="264"/>
      <c r="F9" s="264"/>
      <c r="G9" s="264"/>
      <c r="H9" s="264"/>
      <c r="I9" s="264"/>
      <c r="J9" s="85" t="s">
        <v>27</v>
      </c>
      <c r="K9" s="109"/>
      <c r="L9" s="86" t="s">
        <v>30</v>
      </c>
      <c r="M9" s="25"/>
    </row>
    <row r="10" spans="1:13" ht="36.75" customHeight="1" thickBot="1" x14ac:dyDescent="0.3">
      <c r="A10" s="25"/>
      <c r="B10" s="48" t="s">
        <v>7</v>
      </c>
      <c r="C10" s="265" t="s">
        <v>238</v>
      </c>
      <c r="D10" s="266"/>
      <c r="E10" s="266"/>
      <c r="F10" s="266"/>
      <c r="G10" s="266"/>
      <c r="H10" s="266"/>
      <c r="I10" s="266"/>
      <c r="J10" s="101"/>
      <c r="K10" s="102"/>
      <c r="L10" s="103"/>
      <c r="M10" s="25"/>
    </row>
    <row r="11" spans="1:13" ht="32.25" customHeight="1" x14ac:dyDescent="0.25">
      <c r="A11" s="25"/>
      <c r="B11" s="88" t="s">
        <v>226</v>
      </c>
      <c r="C11" s="89" t="s">
        <v>221</v>
      </c>
      <c r="D11" s="90"/>
      <c r="E11" s="91"/>
      <c r="F11" s="91"/>
      <c r="G11" s="91"/>
      <c r="H11" s="91"/>
      <c r="I11" s="108" t="s">
        <v>239</v>
      </c>
      <c r="J11" s="74" t="str">
        <f>IF(AND(E11="",F11="",G11="",H11="",I11=""),"","x")</f>
        <v>x</v>
      </c>
      <c r="K11" s="104" t="str">
        <f>IF(AND(E11="",F11="",G11="",H11="",I11=""),"Eingabe fehlt",IF(COUNTA(E11:I11)&gt;1, "Nur eine Bewertung pro Unterbereich möglich", ""))</f>
        <v/>
      </c>
      <c r="L11" s="76" t="str">
        <f>IF(AND(G11="",H11="",I11=""),"","Erstellung von Energieausweisen für alle gemeindeeigenen Gebäude.")</f>
        <v>Erstellung von Energieausweisen für alle gemeindeeigenen Gebäude.</v>
      </c>
      <c r="M11" s="25"/>
    </row>
    <row r="12" spans="1:13" ht="29.25" customHeight="1" x14ac:dyDescent="0.25">
      <c r="A12" s="25"/>
      <c r="B12" s="92" t="s">
        <v>67</v>
      </c>
      <c r="C12" s="93" t="s">
        <v>76</v>
      </c>
      <c r="D12" s="94"/>
      <c r="E12" s="274"/>
      <c r="F12" s="275"/>
      <c r="G12" s="275"/>
      <c r="H12" s="275"/>
      <c r="I12" s="275"/>
      <c r="J12" s="74"/>
      <c r="K12" s="104" t="str">
        <f>IF(AND(D12="",E12=""),"Angabe fehlt","")</f>
        <v>Angabe fehlt</v>
      </c>
      <c r="L12" s="76"/>
      <c r="M12" s="25"/>
    </row>
    <row r="13" spans="1:13" ht="59.25" customHeight="1" x14ac:dyDescent="0.25">
      <c r="A13" s="25"/>
      <c r="B13" s="88" t="s">
        <v>227</v>
      </c>
      <c r="C13" s="93" t="s">
        <v>251</v>
      </c>
      <c r="D13" s="95"/>
      <c r="E13" s="63"/>
      <c r="F13" s="63"/>
      <c r="G13" s="63"/>
      <c r="H13" s="63"/>
      <c r="I13" s="54" t="s">
        <v>239</v>
      </c>
      <c r="J13" s="74" t="str">
        <f t="shared" ref="J13:J24" si="0">IF(AND(E13="",F13="",G13="",H13="",I13=""),"","x")</f>
        <v>x</v>
      </c>
      <c r="K13" s="104" t="str">
        <f>IF(AND(E13="",F13="",G13="",H13="",I13=""),"Eingabe fehlt",IF(COUNTA(E13:I13)&gt;1, "Nur eine Bewertung pro Unterbereich möglich", ""))</f>
        <v/>
      </c>
      <c r="L13" s="76" t="str">
        <f>IF(AND(G13="",H13="",I13=""),"","Einführung einer Energiebuchhaltung zur Erfassung der Verbrauchsdaten Wärme, Strom und Wasser.")</f>
        <v>Einführung einer Energiebuchhaltung zur Erfassung der Verbrauchsdaten Wärme, Strom und Wasser.</v>
      </c>
      <c r="M13" s="25"/>
    </row>
    <row r="14" spans="1:13" ht="38.25" x14ac:dyDescent="0.25">
      <c r="A14" s="25"/>
      <c r="B14" s="88" t="s">
        <v>228</v>
      </c>
      <c r="C14" s="93" t="s">
        <v>77</v>
      </c>
      <c r="D14" s="94"/>
      <c r="E14" s="63"/>
      <c r="F14" s="63"/>
      <c r="G14" s="63"/>
      <c r="H14" s="63"/>
      <c r="I14" s="54" t="s">
        <v>239</v>
      </c>
      <c r="J14" s="74" t="str">
        <f t="shared" si="0"/>
        <v>x</v>
      </c>
      <c r="K14" s="104" t="str">
        <f t="shared" ref="K14:K17" si="1">IF(AND(E14="",F14="",G14="",H14="",I14=""),"Eingabe fehlt",IF(COUNTA(E14:I14)&gt;1, "Nur eine Bewertung pro Unterbereich möglich", ""))</f>
        <v/>
      </c>
      <c r="L14" s="76" t="str">
        <f>IF(AND(G14="",H14="",I14=""),"","Erstellung eines jährlichen Energieberichtes und Präsentation der Ergebnisse vor den zuständigen Gremien.")</f>
        <v>Erstellung eines jährlichen Energieberichtes und Präsentation der Ergebnisse vor den zuständigen Gremien.</v>
      </c>
      <c r="M14" s="25"/>
    </row>
    <row r="15" spans="1:13" ht="31.5" customHeight="1" x14ac:dyDescent="0.25">
      <c r="A15" s="25"/>
      <c r="B15" s="92" t="s">
        <v>230</v>
      </c>
      <c r="C15" s="93" t="s">
        <v>78</v>
      </c>
      <c r="D15" s="94"/>
      <c r="E15" s="63"/>
      <c r="F15" s="63"/>
      <c r="G15" s="63"/>
      <c r="H15" s="63"/>
      <c r="I15" s="54" t="s">
        <v>239</v>
      </c>
      <c r="J15" s="74" t="str">
        <f t="shared" si="0"/>
        <v>x</v>
      </c>
      <c r="K15" s="104" t="str">
        <f t="shared" si="1"/>
        <v/>
      </c>
      <c r="L15" s="76" t="str">
        <f>IF(AND(G15="",H15="",I15=""),"","Diese Bericht sollte auch den zuständigen Gremien präsentiert werden.")</f>
        <v>Diese Bericht sollte auch den zuständigen Gremien präsentiert werden.</v>
      </c>
      <c r="M15" s="25"/>
    </row>
    <row r="16" spans="1:13" ht="40.5" customHeight="1" x14ac:dyDescent="0.25">
      <c r="A16" s="25"/>
      <c r="B16" s="88" t="s">
        <v>229</v>
      </c>
      <c r="C16" s="93" t="s">
        <v>79</v>
      </c>
      <c r="D16" s="94"/>
      <c r="E16" s="63"/>
      <c r="F16" s="63"/>
      <c r="G16" s="63"/>
      <c r="H16" s="63"/>
      <c r="I16" s="54" t="s">
        <v>239</v>
      </c>
      <c r="J16" s="74" t="str">
        <f t="shared" si="0"/>
        <v>x</v>
      </c>
      <c r="K16" s="104" t="str">
        <f t="shared" si="1"/>
        <v/>
      </c>
      <c r="L16" s="76" t="str">
        <f>IF(AND(G16="",H16="",I16=""),"","Erstellung einer längerfristigen Sanierungsplanung für gemeindeeigene Gebäude. ")</f>
        <v xml:space="preserve">Erstellung einer längerfristigen Sanierungsplanung für gemeindeeigene Gebäude. </v>
      </c>
      <c r="M16" s="25"/>
    </row>
    <row r="17" spans="1:13" ht="59.25" customHeight="1" x14ac:dyDescent="0.25">
      <c r="A17" s="25"/>
      <c r="B17" s="88" t="s">
        <v>231</v>
      </c>
      <c r="C17" s="93" t="s">
        <v>80</v>
      </c>
      <c r="D17" s="94"/>
      <c r="E17" s="63"/>
      <c r="F17" s="63"/>
      <c r="G17" s="63"/>
      <c r="H17" s="63"/>
      <c r="I17" s="54" t="s">
        <v>239</v>
      </c>
      <c r="J17" s="74" t="str">
        <f t="shared" si="0"/>
        <v>x</v>
      </c>
      <c r="K17" s="104" t="str">
        <f t="shared" si="1"/>
        <v/>
      </c>
      <c r="L17" s="76" t="str">
        <f>IF(AND(G17="",H17="",I17=""),"","Festlegung von energetischen Standards bei Neubauten und Sanierungen von gemeindeeigenen Gebäuden.")</f>
        <v>Festlegung von energetischen Standards bei Neubauten und Sanierungen von gemeindeeigenen Gebäuden.</v>
      </c>
      <c r="M17" s="25"/>
    </row>
    <row r="18" spans="1:13" ht="31.5" customHeight="1" x14ac:dyDescent="0.25">
      <c r="A18" s="25"/>
      <c r="B18" s="92" t="s">
        <v>68</v>
      </c>
      <c r="C18" s="93" t="s">
        <v>81</v>
      </c>
      <c r="D18" s="94"/>
      <c r="E18" s="274"/>
      <c r="F18" s="275"/>
      <c r="G18" s="275"/>
      <c r="H18" s="275"/>
      <c r="I18" s="275"/>
      <c r="J18" s="74"/>
      <c r="K18" s="104" t="str">
        <f>IF(AND(D18="",E18=""),"Angabe Beispiele","")</f>
        <v>Angabe Beispiele</v>
      </c>
      <c r="L18" s="76"/>
      <c r="M18" s="25"/>
    </row>
    <row r="19" spans="1:13" ht="49.5" customHeight="1" x14ac:dyDescent="0.25">
      <c r="A19" s="25"/>
      <c r="B19" s="88" t="s">
        <v>69</v>
      </c>
      <c r="C19" s="93" t="s">
        <v>82</v>
      </c>
      <c r="D19" s="94"/>
      <c r="E19" s="63"/>
      <c r="F19" s="63"/>
      <c r="G19" s="63"/>
      <c r="H19" s="63"/>
      <c r="I19" s="54" t="s">
        <v>239</v>
      </c>
      <c r="J19" s="74" t="str">
        <f t="shared" si="0"/>
        <v>x</v>
      </c>
      <c r="K19" s="104" t="str">
        <f>IF(AND(E19="",F19="",G19="",H19="",I19=""),"Eingabe fehlt",IF(COUNTA(E19:I19)&gt;1, "Nur eine Bewertung pro Unterbereich möglich", ""))</f>
        <v/>
      </c>
      <c r="L19" s="76" t="str">
        <f>IF(AND(G19="",H19="",I19=""),"","Erfassung aller relevanten Daten der kommunalen Strassenbeleuchtung (z.B. Anzahl Lichtpunkte, Stromverbrauch, beleuchtete Strecke, GIS)")</f>
        <v>Erfassung aller relevanten Daten der kommunalen Strassenbeleuchtung (z.B. Anzahl Lichtpunkte, Stromverbrauch, beleuchtete Strecke, GIS)</v>
      </c>
      <c r="M19" s="25"/>
    </row>
    <row r="20" spans="1:13" ht="48" customHeight="1" x14ac:dyDescent="0.25">
      <c r="A20" s="25"/>
      <c r="B20" s="88" t="s">
        <v>70</v>
      </c>
      <c r="C20" s="93" t="s">
        <v>83</v>
      </c>
      <c r="D20" s="94"/>
      <c r="E20" s="63"/>
      <c r="F20" s="63"/>
      <c r="G20" s="63"/>
      <c r="H20" s="63"/>
      <c r="I20" s="54" t="s">
        <v>239</v>
      </c>
      <c r="J20" s="74" t="str">
        <f>IF(AND(E20="",F20="",G20="",H20="",I20=""),"","x")</f>
        <v>x</v>
      </c>
      <c r="K20" s="104" t="str">
        <f>IF(AND(E20="",F20="",G20="",H20="",I20=""),"Eingabe fehlt",IF(COUNTA(E20:I20)&gt;1, "Nur eine Bewertung pro Unterbereich möglich", ""))</f>
        <v/>
      </c>
      <c r="L20" s="76" t="str">
        <f>IF(AND(G20="",H20="",I20=""),"","Maßnahmen zur Umstellung der Beleuchtung setzen (z.B. Umstellungskosten, Stromeinsparungen eruieren).")</f>
        <v>Maßnahmen zur Umstellung der Beleuchtung setzen (z.B. Umstellungskosten, Stromeinsparungen eruieren).</v>
      </c>
      <c r="M20" s="25"/>
    </row>
    <row r="21" spans="1:13" ht="25.5" x14ac:dyDescent="0.25">
      <c r="A21" s="25"/>
      <c r="B21" s="92" t="s">
        <v>71</v>
      </c>
      <c r="C21" s="93" t="s">
        <v>84</v>
      </c>
      <c r="D21" s="94"/>
      <c r="E21" s="274"/>
      <c r="F21" s="275"/>
      <c r="G21" s="275"/>
      <c r="H21" s="275"/>
      <c r="I21" s="275"/>
      <c r="J21" s="74"/>
      <c r="K21" s="104" t="str">
        <f>IF(AND(E21="",D21=""),"Maßnahmen fehlen","")</f>
        <v>Maßnahmen fehlen</v>
      </c>
      <c r="L21" s="76"/>
      <c r="M21" s="25"/>
    </row>
    <row r="22" spans="1:13" ht="31.5" customHeight="1" x14ac:dyDescent="0.25">
      <c r="A22" s="25"/>
      <c r="B22" s="88" t="s">
        <v>72</v>
      </c>
      <c r="C22" s="93" t="s">
        <v>85</v>
      </c>
      <c r="D22" s="94"/>
      <c r="E22" s="63"/>
      <c r="F22" s="63"/>
      <c r="G22" s="63"/>
      <c r="H22" s="63"/>
      <c r="I22" s="54" t="s">
        <v>239</v>
      </c>
      <c r="J22" s="74" t="str">
        <f t="shared" si="0"/>
        <v>x</v>
      </c>
      <c r="K22" s="104" t="str">
        <f>IF(AND(E22="",F22="",G22="",H22="",I22=""),"Eingabe fehlt",IF(COUNTA(E22:I22)&gt;1, "Nur eine Bewertung pro Unterbereich möglich", ""))</f>
        <v/>
      </c>
      <c r="L22" s="76" t="str">
        <f>IF(AND(G22="",H22="",I22=""),"","Einführung einer Treibstoffbuchhaltung und Präsentation der Ergebnisse in einem Energiebericht.")</f>
        <v>Einführung einer Treibstoffbuchhaltung und Präsentation der Ergebnisse in einem Energiebericht.</v>
      </c>
      <c r="M22" s="25"/>
    </row>
    <row r="23" spans="1:13" ht="36" customHeight="1" x14ac:dyDescent="0.25">
      <c r="A23" s="25"/>
      <c r="B23" s="88" t="s">
        <v>73</v>
      </c>
      <c r="C23" s="93" t="s">
        <v>252</v>
      </c>
      <c r="D23" s="94"/>
      <c r="E23" s="63"/>
      <c r="F23" s="63"/>
      <c r="G23" s="63"/>
      <c r="H23" s="63"/>
      <c r="I23" s="54" t="s">
        <v>239</v>
      </c>
      <c r="J23" s="74" t="str">
        <f t="shared" si="0"/>
        <v>x</v>
      </c>
      <c r="K23" s="104" t="str">
        <f t="shared" ref="K23:K24" si="2">IF(AND(E23="",F23="",G23="",H23="",I23=""),"Eingabe fehlt",IF(COUNTA(E23:I23)&gt;1, "Nur eine Bewertung pro Unterbereich möglich", ""))</f>
        <v/>
      </c>
      <c r="L23" s="76" t="str">
        <f>IF(AND(G23="",H23="",I23=""),"","Erstellung einer Beschaffungsrichtlinie für effiziente und umweltfreundlichere Fahrzeuge.")</f>
        <v>Erstellung einer Beschaffungsrichtlinie für effiziente und umweltfreundlichere Fahrzeuge.</v>
      </c>
      <c r="M23" s="25"/>
    </row>
    <row r="24" spans="1:13" ht="53.25" customHeight="1" thickBot="1" x14ac:dyDescent="0.3">
      <c r="A24" s="25"/>
      <c r="B24" s="96" t="s">
        <v>74</v>
      </c>
      <c r="C24" s="97" t="s">
        <v>86</v>
      </c>
      <c r="D24" s="98"/>
      <c r="E24" s="69"/>
      <c r="F24" s="69"/>
      <c r="G24" s="69"/>
      <c r="H24" s="69"/>
      <c r="I24" s="81" t="s">
        <v>239</v>
      </c>
      <c r="J24" s="74" t="str">
        <f t="shared" si="0"/>
        <v>x</v>
      </c>
      <c r="K24" s="104" t="str">
        <f t="shared" si="2"/>
        <v/>
      </c>
      <c r="L24" s="76" t="str">
        <f>IF(AND(G24="",H24="",I24=""),"","Die Gemeinde unterstützt ihre Gebäudeverantwortlichen bei Schulungen und stellt Zeit und Finanzressourcen für Weiterbildungsmaßnahmen zur Verfügung.")</f>
        <v>Die Gemeinde unterstützt ihre Gebäudeverantwortlichen bei Schulungen und stellt Zeit und Finanzressourcen für Weiterbildungsmaßnahmen zur Verfügung.</v>
      </c>
      <c r="M24" s="25"/>
    </row>
    <row r="25" spans="1:13" ht="20.100000000000001" customHeight="1" thickBot="1" x14ac:dyDescent="0.3">
      <c r="A25" s="25"/>
      <c r="B25" s="267" t="s">
        <v>232</v>
      </c>
      <c r="C25" s="270" t="s">
        <v>217</v>
      </c>
      <c r="D25" s="271"/>
      <c r="E25" s="272">
        <f>IF(Verbrauchserfassung!G12="","",Verbrauchserfassung!G12)</f>
        <v>10</v>
      </c>
      <c r="F25" s="273"/>
      <c r="G25" s="273"/>
      <c r="H25" s="273"/>
      <c r="I25" s="56" t="s">
        <v>209</v>
      </c>
      <c r="J25" s="74" t="str">
        <f>IF(AND(E25="",F25="",G25="",H25=""),"","x")</f>
        <v>x</v>
      </c>
      <c r="K25" s="104" t="str">
        <f>IF(AND(E25=""),"Angabe im Blatt Verbrauchserfassung fehlt","")</f>
        <v/>
      </c>
      <c r="L25" s="100"/>
      <c r="M25" s="25"/>
    </row>
    <row r="26" spans="1:13" ht="20.100000000000001" customHeight="1" thickBot="1" x14ac:dyDescent="0.3">
      <c r="A26" s="25"/>
      <c r="B26" s="268"/>
      <c r="C26" s="270" t="s">
        <v>218</v>
      </c>
      <c r="D26" s="271"/>
      <c r="E26" s="272">
        <f>IF(Verbrauchserfassung!H12="","",Verbrauchserfassung!H12)</f>
        <v>100</v>
      </c>
      <c r="F26" s="273"/>
      <c r="G26" s="273"/>
      <c r="H26" s="273"/>
      <c r="I26" s="56" t="s">
        <v>209</v>
      </c>
      <c r="J26" s="74" t="str">
        <f t="shared" ref="J26:J27" si="3">IF(AND(E26="",F26="",G26="",H26=""),"","x")</f>
        <v>x</v>
      </c>
      <c r="K26" s="104" t="str">
        <f>IF(AND(E26=""),"Angabe im Blatt Verbrauchserfassung fehlt","")</f>
        <v/>
      </c>
      <c r="L26" s="105"/>
      <c r="M26" s="25"/>
    </row>
    <row r="27" spans="1:13" ht="20.100000000000001" customHeight="1" thickBot="1" x14ac:dyDescent="0.3">
      <c r="A27" s="25"/>
      <c r="B27" s="269"/>
      <c r="C27" s="270" t="s">
        <v>219</v>
      </c>
      <c r="D27" s="271"/>
      <c r="E27" s="272">
        <f>IF(Verbrauchserfassung!I12="","",Verbrauchserfassung!I12)</f>
        <v>0</v>
      </c>
      <c r="F27" s="273"/>
      <c r="G27" s="273"/>
      <c r="H27" s="273"/>
      <c r="I27" s="56" t="s">
        <v>209</v>
      </c>
      <c r="J27" s="77" t="str">
        <f t="shared" si="3"/>
        <v>x</v>
      </c>
      <c r="K27" s="207" t="str">
        <f>IF(AND(E27=""),"Angabe im Blatt Verbrauchserfassung fehlt","")</f>
        <v/>
      </c>
      <c r="L27" s="106"/>
      <c r="M27" s="25"/>
    </row>
    <row r="28" spans="1:13" x14ac:dyDescent="0.25">
      <c r="A28" s="25"/>
      <c r="B28" s="25"/>
      <c r="C28" s="25"/>
      <c r="D28" s="25"/>
      <c r="E28" s="25"/>
      <c r="F28" s="25"/>
      <c r="G28" s="25"/>
      <c r="H28" s="25"/>
      <c r="I28" s="25"/>
      <c r="J28" s="25"/>
      <c r="K28" s="45"/>
      <c r="L28" s="45"/>
      <c r="M28" s="25"/>
    </row>
    <row r="29" spans="1:13" ht="15.75" x14ac:dyDescent="0.25">
      <c r="A29" s="25"/>
      <c r="B29" s="42"/>
      <c r="C29" s="43">
        <f>IF(AND(L41="FALSCH"),"",L38)</f>
        <v>10.9375</v>
      </c>
      <c r="D29" s="42" t="s">
        <v>223</v>
      </c>
      <c r="E29" s="42"/>
      <c r="F29" s="42"/>
      <c r="G29" s="42"/>
      <c r="H29" s="42"/>
      <c r="I29" s="42"/>
      <c r="J29" s="42"/>
      <c r="K29" s="42"/>
      <c r="L29" s="42"/>
      <c r="M29" s="25"/>
    </row>
    <row r="30" spans="1:13" x14ac:dyDescent="0.25">
      <c r="A30" s="25"/>
      <c r="B30" s="25"/>
      <c r="C30" s="25"/>
      <c r="D30" s="25"/>
      <c r="E30" s="25"/>
      <c r="F30" s="25"/>
      <c r="G30" s="25"/>
      <c r="H30" s="25"/>
      <c r="I30" s="25"/>
      <c r="J30" s="26"/>
      <c r="K30" s="26"/>
      <c r="L30" s="26"/>
      <c r="M30" s="25"/>
    </row>
    <row r="31" spans="1:13" x14ac:dyDescent="0.25">
      <c r="A31" s="25"/>
      <c r="B31" s="25"/>
      <c r="C31" s="25"/>
      <c r="D31" s="25"/>
      <c r="E31" s="26"/>
      <c r="F31" s="26"/>
      <c r="G31" s="26"/>
      <c r="H31" s="26"/>
      <c r="I31" s="26"/>
      <c r="J31" s="26"/>
      <c r="K31" s="26"/>
      <c r="L31" s="26"/>
      <c r="M31" s="25"/>
    </row>
    <row r="32" spans="1:13" x14ac:dyDescent="0.25">
      <c r="A32" s="25"/>
      <c r="B32" s="25"/>
      <c r="C32" s="25"/>
      <c r="D32" s="25"/>
      <c r="E32" s="26">
        <f>COUNTIF(E11,"")</f>
        <v>1</v>
      </c>
      <c r="F32" s="26">
        <f t="shared" ref="F32:I32" si="4">COUNTIF(F11,"")</f>
        <v>1</v>
      </c>
      <c r="G32" s="26">
        <f t="shared" si="4"/>
        <v>1</v>
      </c>
      <c r="H32" s="26">
        <f t="shared" si="4"/>
        <v>1</v>
      </c>
      <c r="I32" s="26">
        <f t="shared" si="4"/>
        <v>0</v>
      </c>
      <c r="J32" s="26"/>
      <c r="K32" s="26"/>
      <c r="L32" s="26"/>
      <c r="M32" s="25"/>
    </row>
    <row r="33" spans="1:13" x14ac:dyDescent="0.25">
      <c r="A33" s="25"/>
      <c r="B33" s="25"/>
      <c r="C33" s="25"/>
      <c r="D33" s="25"/>
      <c r="E33" s="26">
        <f>COUNTIF(E13:E17,"")</f>
        <v>5</v>
      </c>
      <c r="F33" s="26">
        <f>COUNTIF(F13:F17,"")</f>
        <v>5</v>
      </c>
      <c r="G33" s="26">
        <f>COUNTIF(G13:G17,"")</f>
        <v>5</v>
      </c>
      <c r="H33" s="26">
        <f>COUNTIF(H13:H17,"")</f>
        <v>5</v>
      </c>
      <c r="I33" s="26">
        <f>COUNTIF(I13:I17,"")</f>
        <v>0</v>
      </c>
      <c r="J33" s="26"/>
      <c r="K33" s="26"/>
      <c r="L33" s="26"/>
      <c r="M33" s="25"/>
    </row>
    <row r="34" spans="1:13" x14ac:dyDescent="0.25">
      <c r="A34" s="25"/>
      <c r="B34" s="25"/>
      <c r="C34" s="25"/>
      <c r="D34" s="25"/>
      <c r="E34" s="26">
        <f>COUNTIF(E19:E20,"")</f>
        <v>2</v>
      </c>
      <c r="F34" s="26">
        <f>COUNTIF(F19:F20,"")</f>
        <v>2</v>
      </c>
      <c r="G34" s="26">
        <f>COUNTIF(G19:G20,"")</f>
        <v>2</v>
      </c>
      <c r="H34" s="26">
        <f>COUNTIF(H19:H20,"")</f>
        <v>2</v>
      </c>
      <c r="I34" s="26">
        <f>COUNTIF(I19:I20,"")</f>
        <v>0</v>
      </c>
      <c r="J34" s="26"/>
      <c r="K34" s="26"/>
      <c r="L34" s="26"/>
      <c r="M34" s="25"/>
    </row>
    <row r="35" spans="1:13" x14ac:dyDescent="0.25">
      <c r="A35" s="25"/>
      <c r="B35" s="25"/>
      <c r="C35" s="25"/>
      <c r="D35" s="25"/>
      <c r="E35" s="26">
        <f>COUNTIF(E22:E24,"")</f>
        <v>3</v>
      </c>
      <c r="F35" s="26">
        <f>COUNTIF(F22:F24,"")</f>
        <v>3</v>
      </c>
      <c r="G35" s="26">
        <f>COUNTIF(G22:G24,"")</f>
        <v>3</v>
      </c>
      <c r="H35" s="26">
        <f>COUNTIF(H22:H24,"")</f>
        <v>3</v>
      </c>
      <c r="I35" s="26">
        <f>COUNTIF(I22:I24,"")</f>
        <v>0</v>
      </c>
      <c r="J35" s="26"/>
      <c r="K35" s="26"/>
      <c r="L35" s="26"/>
      <c r="M35" s="25"/>
    </row>
    <row r="36" spans="1:13" x14ac:dyDescent="0.25">
      <c r="A36" s="25"/>
      <c r="B36" s="25"/>
      <c r="C36" s="25"/>
      <c r="D36" s="25"/>
      <c r="E36" s="26">
        <f>(1-E32)+(5-E33)+(2-E34)+(3-E35)</f>
        <v>0</v>
      </c>
      <c r="F36" s="26">
        <f t="shared" ref="F36:H36" si="5">(1-F32)+(5-F33)+(2-F34)+(3-F35)</f>
        <v>0</v>
      </c>
      <c r="G36" s="26">
        <f t="shared" si="5"/>
        <v>0</v>
      </c>
      <c r="H36" s="26">
        <f t="shared" si="5"/>
        <v>0</v>
      </c>
      <c r="I36" s="26">
        <f>(1-I32)+(5-I33)+(2-I34)+(3-I35)</f>
        <v>11</v>
      </c>
      <c r="J36" s="26"/>
      <c r="K36" s="26">
        <v>95</v>
      </c>
      <c r="L36" s="27" t="s">
        <v>204</v>
      </c>
      <c r="M36" s="25"/>
    </row>
    <row r="37" spans="1:13" x14ac:dyDescent="0.25">
      <c r="A37" s="25"/>
      <c r="B37" s="25"/>
      <c r="C37" s="25"/>
      <c r="D37" s="25"/>
      <c r="E37" s="26">
        <f t="shared" ref="E37:H37" si="6">E36*E41/$E$39</f>
        <v>0</v>
      </c>
      <c r="F37" s="26">
        <f t="shared" si="6"/>
        <v>0</v>
      </c>
      <c r="G37" s="26">
        <f t="shared" si="6"/>
        <v>0</v>
      </c>
      <c r="H37" s="26">
        <f t="shared" si="6"/>
        <v>0</v>
      </c>
      <c r="I37" s="26">
        <f>I36*I41/$E$39</f>
        <v>4.75</v>
      </c>
      <c r="J37" s="26"/>
      <c r="K37" s="26">
        <f>IF(AND(K13="",K14="",K15="",K16="",K17="",K19="",K20="",K23="",K24="",K22="",K11=""),E37+F37+G37+H37+I37,"")</f>
        <v>4.75</v>
      </c>
      <c r="L37" s="26">
        <f>IF(K37="","",K37*100/K36)</f>
        <v>5</v>
      </c>
      <c r="M37" s="25"/>
    </row>
    <row r="38" spans="1:13" ht="17.25" customHeight="1" x14ac:dyDescent="0.25">
      <c r="A38" s="25"/>
      <c r="B38" s="25"/>
      <c r="C38" s="25"/>
      <c r="D38" s="25"/>
      <c r="E38" s="26"/>
      <c r="F38" s="26"/>
      <c r="G38" s="26"/>
      <c r="H38" s="26"/>
      <c r="I38" s="26"/>
      <c r="J38" s="26"/>
      <c r="K38" s="26"/>
      <c r="L38" s="28">
        <f>IFERROR(IF(Verbrauchserfassung!AN11=300,SUM(Verbrauchserfassung!AA9:AA109,Verbrauchserfassung!AF9:AF109,Verbrauchserfassung!AK9:AK109),""),"")</f>
        <v>10.9375</v>
      </c>
      <c r="M38" s="25"/>
    </row>
    <row r="39" spans="1:13" x14ac:dyDescent="0.25">
      <c r="A39" s="25"/>
      <c r="B39" s="25"/>
      <c r="C39" s="25"/>
      <c r="D39" s="25"/>
      <c r="E39" s="26">
        <f>11*5-SUM(E32:I35)</f>
        <v>11</v>
      </c>
      <c r="F39" s="26"/>
      <c r="G39" s="26"/>
      <c r="H39" s="26"/>
      <c r="I39" s="26"/>
      <c r="J39" s="26"/>
      <c r="K39" s="26"/>
      <c r="L39" s="26"/>
      <c r="M39" s="25"/>
    </row>
    <row r="40" spans="1:13" x14ac:dyDescent="0.25">
      <c r="A40" s="25"/>
      <c r="B40" s="25"/>
      <c r="C40" s="25"/>
      <c r="D40" s="25"/>
      <c r="E40" s="26"/>
      <c r="F40" s="26"/>
      <c r="G40" s="26"/>
      <c r="H40" s="26"/>
      <c r="I40" s="26"/>
      <c r="J40" s="26"/>
      <c r="K40" s="26"/>
      <c r="L40" s="26"/>
      <c r="M40" s="25"/>
    </row>
    <row r="41" spans="1:13" x14ac:dyDescent="0.25">
      <c r="A41" s="25"/>
      <c r="B41" s="25"/>
      <c r="C41" s="25"/>
      <c r="D41" s="25"/>
      <c r="E41" s="26">
        <v>95</v>
      </c>
      <c r="F41" s="26">
        <v>71.25</v>
      </c>
      <c r="G41" s="26">
        <v>47.5</v>
      </c>
      <c r="H41" s="26">
        <v>23.75</v>
      </c>
      <c r="I41" s="26">
        <v>4.75</v>
      </c>
      <c r="J41" s="26"/>
      <c r="K41" s="26"/>
      <c r="L41" s="199"/>
      <c r="M41" s="25"/>
    </row>
    <row r="42" spans="1:13" x14ac:dyDescent="0.25">
      <c r="A42" s="25"/>
      <c r="B42" s="25"/>
      <c r="C42" s="25"/>
      <c r="D42" s="25"/>
      <c r="E42" s="26"/>
      <c r="F42" s="26"/>
      <c r="G42" s="26"/>
      <c r="H42" s="26"/>
      <c r="I42" s="26"/>
      <c r="J42" s="26"/>
      <c r="K42" s="26"/>
      <c r="L42" s="26"/>
      <c r="M42" s="25"/>
    </row>
    <row r="43" spans="1:13" x14ac:dyDescent="0.25">
      <c r="A43" s="25"/>
      <c r="B43" s="25"/>
      <c r="C43" s="25"/>
      <c r="D43" s="25"/>
      <c r="E43" s="26"/>
      <c r="F43" s="26"/>
      <c r="G43" s="26"/>
      <c r="H43" s="26"/>
      <c r="I43" s="26"/>
      <c r="J43" s="26"/>
      <c r="K43" s="26"/>
      <c r="L43" s="26"/>
      <c r="M43" s="25"/>
    </row>
    <row r="44" spans="1:13" x14ac:dyDescent="0.25">
      <c r="A44" s="25"/>
      <c r="B44" s="25"/>
      <c r="C44" s="25"/>
      <c r="D44" s="25"/>
      <c r="E44" s="25"/>
      <c r="F44" s="25"/>
      <c r="G44" s="25"/>
      <c r="H44" s="25"/>
      <c r="I44" s="25"/>
      <c r="J44" s="25"/>
      <c r="K44" s="25"/>
      <c r="L44" s="25"/>
      <c r="M44" s="25"/>
    </row>
    <row r="45" spans="1:13" x14ac:dyDescent="0.25">
      <c r="A45" s="25"/>
      <c r="B45" s="25"/>
      <c r="C45" s="25"/>
      <c r="D45" s="25"/>
      <c r="E45" s="25"/>
      <c r="F45" s="25"/>
      <c r="G45" s="25"/>
      <c r="H45" s="25"/>
      <c r="I45" s="25"/>
      <c r="J45" s="25"/>
      <c r="K45" s="25"/>
      <c r="L45" s="25"/>
      <c r="M45" s="25"/>
    </row>
    <row r="46" spans="1:13" x14ac:dyDescent="0.25">
      <c r="A46" s="25"/>
      <c r="B46" s="25"/>
      <c r="C46" s="25"/>
      <c r="D46" s="25"/>
      <c r="E46" s="25"/>
      <c r="F46" s="25"/>
      <c r="G46" s="25"/>
      <c r="H46" s="25"/>
      <c r="I46" s="25"/>
      <c r="J46" s="25"/>
      <c r="K46" s="25"/>
      <c r="L46" s="25"/>
      <c r="M46" s="25"/>
    </row>
  </sheetData>
  <sheetProtection algorithmName="SHA-512" hashValue="leLtbtTtkSw8CRTQuVPtBqAjf4oR2nJL86GQ/oTgifqxeU82WV/gXyWe8cvvgugaBicAAxv1bMYruCbLfnA/KQ==" saltValue="sRSb4+8Ud2xdjj4QDRIKhg==" spinCount="100000" sheet="1" objects="1" scenarios="1" formatRows="0"/>
  <mergeCells count="17">
    <mergeCell ref="D7:D8"/>
    <mergeCell ref="E7:I7"/>
    <mergeCell ref="C9:I9"/>
    <mergeCell ref="C10:I10"/>
    <mergeCell ref="J7:L8"/>
    <mergeCell ref="B25:B27"/>
    <mergeCell ref="C25:D25"/>
    <mergeCell ref="C26:D26"/>
    <mergeCell ref="C27:D27"/>
    <mergeCell ref="E25:H25"/>
    <mergeCell ref="E26:H26"/>
    <mergeCell ref="E27:H27"/>
    <mergeCell ref="E12:I12"/>
    <mergeCell ref="E18:I18"/>
    <mergeCell ref="E21:I21"/>
    <mergeCell ref="B7:B8"/>
    <mergeCell ref="C7:C8"/>
  </mergeCells>
  <pageMargins left="0.7" right="0.7" top="0.78740157499999996" bottom="0.78740157499999996" header="0.3" footer="0.3"/>
  <pageSetup paperSize="9" scale="60" fitToHeight="0" orientation="landscape" r:id="rId1"/>
  <ignoredErrors>
    <ignoredError sqref="E33:E35" formulaRange="1"/>
    <ignoredError sqref="K12:K2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58707-880E-47A0-9988-079A7F566245}">
  <sheetPr>
    <pageSetUpPr fitToPage="1"/>
  </sheetPr>
  <dimension ref="A1:M48"/>
  <sheetViews>
    <sheetView topLeftCell="A12" zoomScale="80" zoomScaleNormal="80" workbookViewId="0">
      <selection activeCell="K29" sqref="K29"/>
    </sheetView>
  </sheetViews>
  <sheetFormatPr baseColWidth="10" defaultRowHeight="15" x14ac:dyDescent="0.25"/>
  <cols>
    <col min="1" max="1" width="2.85546875" customWidth="1"/>
    <col min="2" max="2" width="9.7109375" customWidth="1"/>
    <col min="3" max="3" width="63.7109375" customWidth="1"/>
    <col min="4" max="4" width="44.7109375" customWidth="1"/>
    <col min="5" max="9" width="4.7109375" customWidth="1"/>
    <col min="10" max="10" width="10.28515625" customWidth="1"/>
    <col min="11" max="11" width="13.140625" customWidth="1"/>
    <col min="12" max="12" width="47.7109375" customWidth="1"/>
  </cols>
  <sheetData>
    <row r="1" spans="1:13" ht="15.95" customHeight="1" x14ac:dyDescent="0.25">
      <c r="A1" s="25"/>
      <c r="B1" s="8"/>
      <c r="C1" s="8"/>
      <c r="D1" s="8"/>
      <c r="E1" s="8"/>
      <c r="F1" s="6"/>
      <c r="G1" s="6"/>
      <c r="H1" s="6"/>
      <c r="I1" s="6"/>
      <c r="J1" s="6"/>
      <c r="K1" s="6"/>
      <c r="L1" s="6"/>
      <c r="M1" s="25"/>
    </row>
    <row r="2" spans="1:13" ht="15.95" customHeight="1" x14ac:dyDescent="0.25">
      <c r="A2" s="25"/>
      <c r="B2" s="8"/>
      <c r="C2" s="8"/>
      <c r="D2" s="8"/>
      <c r="E2" s="8"/>
      <c r="F2" s="8"/>
      <c r="G2" s="8"/>
      <c r="H2" s="9" t="s">
        <v>2</v>
      </c>
      <c r="I2" s="8"/>
      <c r="J2" s="8"/>
      <c r="K2" s="8"/>
      <c r="L2" s="8"/>
      <c r="M2" s="25"/>
    </row>
    <row r="3" spans="1:13" ht="15.95" customHeight="1" x14ac:dyDescent="0.25">
      <c r="A3" s="25"/>
      <c r="B3" s="8"/>
      <c r="C3" s="8"/>
      <c r="D3" s="8"/>
      <c r="E3" s="8"/>
      <c r="F3" s="8"/>
      <c r="G3" s="8"/>
      <c r="H3" s="10" t="s">
        <v>3</v>
      </c>
      <c r="I3" s="8"/>
      <c r="J3" s="8"/>
      <c r="K3" s="8"/>
      <c r="L3" s="8"/>
      <c r="M3" s="25"/>
    </row>
    <row r="4" spans="1:13" ht="15.95" customHeight="1" x14ac:dyDescent="0.25">
      <c r="A4" s="25"/>
      <c r="B4" s="8"/>
      <c r="C4" s="8"/>
      <c r="D4" s="8"/>
      <c r="E4" s="8"/>
      <c r="F4" s="8"/>
      <c r="G4" s="8"/>
      <c r="H4" s="10" t="str">
        <f>'KlimaGemeinde Light'!D17</f>
        <v>Kugelschreiber</v>
      </c>
      <c r="I4" s="8"/>
      <c r="J4" s="8"/>
      <c r="K4" s="8"/>
      <c r="L4" s="8"/>
      <c r="M4" s="25"/>
    </row>
    <row r="5" spans="1:13" ht="15.95" customHeight="1" x14ac:dyDescent="0.25">
      <c r="A5" s="25"/>
      <c r="B5" s="8"/>
      <c r="C5" s="8"/>
      <c r="D5" s="8"/>
      <c r="E5" s="8"/>
      <c r="F5" s="6"/>
      <c r="G5" s="6"/>
      <c r="H5" s="6"/>
      <c r="I5" s="6"/>
      <c r="J5" s="6"/>
      <c r="K5" s="6"/>
      <c r="L5" s="6"/>
      <c r="M5" s="25"/>
    </row>
    <row r="6" spans="1:13" ht="15.75" thickBot="1" x14ac:dyDescent="0.3">
      <c r="A6" s="25"/>
      <c r="B6" s="25"/>
      <c r="C6" s="25"/>
      <c r="D6" s="25"/>
      <c r="E6" s="25"/>
      <c r="F6" s="25"/>
      <c r="G6" s="25"/>
      <c r="H6" s="25"/>
      <c r="I6" s="25"/>
      <c r="J6" s="25"/>
      <c r="K6" s="25"/>
      <c r="L6" s="25"/>
      <c r="M6" s="25"/>
    </row>
    <row r="7" spans="1:13" x14ac:dyDescent="0.25">
      <c r="A7" s="25"/>
      <c r="B7" s="257" t="s">
        <v>19</v>
      </c>
      <c r="C7" s="257" t="s">
        <v>20</v>
      </c>
      <c r="D7" s="257" t="s">
        <v>21</v>
      </c>
      <c r="E7" s="259" t="s">
        <v>22</v>
      </c>
      <c r="F7" s="260"/>
      <c r="G7" s="260"/>
      <c r="H7" s="260"/>
      <c r="I7" s="261"/>
      <c r="J7" s="250"/>
      <c r="K7" s="251"/>
      <c r="L7" s="252"/>
      <c r="M7" s="25"/>
    </row>
    <row r="8" spans="1:13" ht="15.75" thickBot="1" x14ac:dyDescent="0.3">
      <c r="A8" s="25"/>
      <c r="B8" s="258"/>
      <c r="C8" s="258"/>
      <c r="D8" s="258"/>
      <c r="E8" s="11">
        <v>1</v>
      </c>
      <c r="F8" s="12">
        <v>2</v>
      </c>
      <c r="G8" s="12">
        <v>3</v>
      </c>
      <c r="H8" s="13">
        <v>4</v>
      </c>
      <c r="I8" s="14">
        <v>5</v>
      </c>
      <c r="J8" s="253"/>
      <c r="K8" s="254"/>
      <c r="L8" s="255"/>
      <c r="M8" s="25"/>
    </row>
    <row r="9" spans="1:13" ht="15.75" thickBot="1" x14ac:dyDescent="0.3">
      <c r="A9" s="25"/>
      <c r="B9" s="23" t="s">
        <v>88</v>
      </c>
      <c r="C9" s="262" t="s">
        <v>89</v>
      </c>
      <c r="D9" s="264"/>
      <c r="E9" s="15"/>
      <c r="F9" s="15"/>
      <c r="G9" s="15"/>
      <c r="H9" s="15"/>
      <c r="I9" s="16"/>
      <c r="J9" s="85" t="s">
        <v>27</v>
      </c>
      <c r="K9" s="33"/>
      <c r="L9" s="127" t="s">
        <v>30</v>
      </c>
      <c r="M9" s="25"/>
    </row>
    <row r="10" spans="1:13" ht="42" customHeight="1" x14ac:dyDescent="0.25">
      <c r="A10" s="25"/>
      <c r="B10" s="114" t="s">
        <v>90</v>
      </c>
      <c r="C10" s="125" t="s">
        <v>91</v>
      </c>
      <c r="D10" s="115"/>
      <c r="E10" s="116"/>
      <c r="F10" s="117"/>
      <c r="G10" s="117"/>
      <c r="H10" s="117"/>
      <c r="I10" s="118" t="s">
        <v>239</v>
      </c>
      <c r="J10" s="71" t="str">
        <f>IF(AND(E10="",F10="",G10="",H10="",I10=""),"","x")</f>
        <v>x</v>
      </c>
      <c r="K10" s="128" t="str">
        <f>IF(AND(E10="",F10="",G10="",H10="",I10=""),"Eingabe fehlt",IF(COUNTA(E10:I10)&gt;1, "Nur eine Bewertung pro Unterbereich möglich", ""))</f>
        <v/>
      </c>
      <c r="L10" s="129" t="str">
        <f>IF(AND(G10="",H10="",I10=""),"","Möglichkeiten abschätzen wo Ökostromerzeugungsanlagen errichtet werden können.")</f>
        <v>Möglichkeiten abschätzen wo Ökostromerzeugungsanlagen errichtet werden können.</v>
      </c>
      <c r="M10" s="25"/>
    </row>
    <row r="11" spans="1:13" ht="17.25" customHeight="1" x14ac:dyDescent="0.25">
      <c r="A11" s="25"/>
      <c r="B11" s="92" t="s">
        <v>92</v>
      </c>
      <c r="C11" s="53" t="s">
        <v>93</v>
      </c>
      <c r="D11" s="94"/>
      <c r="E11" s="276"/>
      <c r="F11" s="276"/>
      <c r="G11" s="276"/>
      <c r="H11" s="276"/>
      <c r="I11" s="277"/>
      <c r="J11" s="74"/>
      <c r="K11" s="130" t="str">
        <f>IF(AND(D11="",E11=""),"Angabe fehlt","")</f>
        <v>Angabe fehlt</v>
      </c>
      <c r="L11" s="131"/>
      <c r="M11" s="25"/>
    </row>
    <row r="12" spans="1:13" ht="30.75" customHeight="1" x14ac:dyDescent="0.25">
      <c r="A12" s="25"/>
      <c r="B12" s="88" t="s">
        <v>94</v>
      </c>
      <c r="C12" s="52" t="s">
        <v>95</v>
      </c>
      <c r="D12" s="94"/>
      <c r="E12" s="119"/>
      <c r="F12" s="120"/>
      <c r="G12" s="120"/>
      <c r="H12" s="120"/>
      <c r="I12" s="121" t="s">
        <v>239</v>
      </c>
      <c r="J12" s="74" t="str">
        <f>IF(AND(E12="",F12="",G12="",H12="",I12=""),"","x")</f>
        <v>x</v>
      </c>
      <c r="K12" s="130" t="str">
        <f>IF(AND(E12="",F12="",G12="",H12="",I12=""),"Eingabe fehlt",IF(COUNTA(E12:I12)&gt;1, "Nur eine Bewertung pro Unterbereich möglich", ""))</f>
        <v/>
      </c>
      <c r="L12" s="131" t="str">
        <f>IF(AND(G12="",H12="",I12=""),"","Angebote einholen, um eine erste Einschätzung der Mehrkosten vornehmen zu können.")</f>
        <v>Angebote einholen, um eine erste Einschätzung der Mehrkosten vornehmen zu können.</v>
      </c>
      <c r="M12" s="25"/>
    </row>
    <row r="13" spans="1:13" x14ac:dyDescent="0.25">
      <c r="A13" s="25"/>
      <c r="B13" s="92" t="s">
        <v>96</v>
      </c>
      <c r="C13" s="53" t="s">
        <v>97</v>
      </c>
      <c r="D13" s="94"/>
      <c r="E13" s="276"/>
      <c r="F13" s="276"/>
      <c r="G13" s="276"/>
      <c r="H13" s="276"/>
      <c r="I13" s="277"/>
      <c r="J13" s="74"/>
      <c r="K13" s="130" t="str">
        <f>IF(AND(D13="",E13=""),"Angabe fehlt","")</f>
        <v>Angabe fehlt</v>
      </c>
      <c r="L13" s="131"/>
      <c r="M13" s="25"/>
    </row>
    <row r="14" spans="1:13" ht="38.25" x14ac:dyDescent="0.25">
      <c r="A14" s="25"/>
      <c r="B14" s="88" t="s">
        <v>98</v>
      </c>
      <c r="C14" s="53" t="s">
        <v>253</v>
      </c>
      <c r="D14" s="94"/>
      <c r="E14" s="119"/>
      <c r="F14" s="120"/>
      <c r="G14" s="120"/>
      <c r="H14" s="120"/>
      <c r="I14" s="121" t="s">
        <v>239</v>
      </c>
      <c r="J14" s="74" t="str">
        <f t="shared" ref="J14:J20" si="0">IF(AND(E14="",F14="",G14="",H14="",I14=""),"","x")</f>
        <v>x</v>
      </c>
      <c r="K14" s="130" t="str">
        <f>IF(AND(E14="",F14="",G14="",H14="",I14=""),"Eingabe fehlt",IF(COUNTA(E14:I14)&gt;1, "Nur eine Bewertung pro Unterbereich möglich", ""))</f>
        <v/>
      </c>
      <c r="L14" s="131" t="str">
        <f>IF(AND(G14="",H14="",I14=""),"","Erhebung aller Ökostromerzeugungsanlagen im gesamten Gemeindegebiet.")</f>
        <v>Erhebung aller Ökostromerzeugungsanlagen im gesamten Gemeindegebiet.</v>
      </c>
      <c r="M14" s="25"/>
    </row>
    <row r="15" spans="1:13" ht="25.5" x14ac:dyDescent="0.25">
      <c r="A15" s="25"/>
      <c r="B15" s="92" t="s">
        <v>99</v>
      </c>
      <c r="C15" s="53" t="s">
        <v>100</v>
      </c>
      <c r="D15" s="94"/>
      <c r="E15" s="276"/>
      <c r="F15" s="276"/>
      <c r="G15" s="276"/>
      <c r="H15" s="276"/>
      <c r="I15" s="277"/>
      <c r="J15" s="74"/>
      <c r="K15" s="130" t="str">
        <f>IF(AND(E15="",D15=""),"Angabe fehlt","")</f>
        <v>Angabe fehlt</v>
      </c>
      <c r="L15" s="131"/>
      <c r="M15" s="25"/>
    </row>
    <row r="16" spans="1:13" ht="42.75" customHeight="1" x14ac:dyDescent="0.25">
      <c r="A16" s="25"/>
      <c r="B16" s="88" t="s">
        <v>101</v>
      </c>
      <c r="C16" s="53" t="s">
        <v>102</v>
      </c>
      <c r="D16" s="94"/>
      <c r="E16" s="119"/>
      <c r="F16" s="120"/>
      <c r="G16" s="120"/>
      <c r="H16" s="120"/>
      <c r="I16" s="121" t="s">
        <v>239</v>
      </c>
      <c r="J16" s="74" t="str">
        <f t="shared" si="0"/>
        <v>x</v>
      </c>
      <c r="K16" s="130" t="str">
        <f>IF(AND(E16="",F16="",G16="",H16="",I16=""),"Eingabe fehlt",IF(COUNTA(E16:I16)&gt;1, "Nur eine Bewertung pro Unterbereich möglich", ""))</f>
        <v/>
      </c>
      <c r="L16" s="131" t="str">
        <f>IF(AND(G16="",H16="",I16=""),"","Die Gemeinde setzt Initiativen, um gemeinsam mit der Bevölkerung Ökostromerzeugungsanlagen zu errichten.")</f>
        <v>Die Gemeinde setzt Initiativen, um gemeinsam mit der Bevölkerung Ökostromerzeugungsanlagen zu errichten.</v>
      </c>
      <c r="M16" s="25"/>
    </row>
    <row r="17" spans="1:13" ht="25.5" x14ac:dyDescent="0.25">
      <c r="A17" s="25"/>
      <c r="B17" s="92" t="s">
        <v>103</v>
      </c>
      <c r="C17" s="53" t="s">
        <v>84</v>
      </c>
      <c r="D17" s="122"/>
      <c r="E17" s="280"/>
      <c r="F17" s="281"/>
      <c r="G17" s="281"/>
      <c r="H17" s="281"/>
      <c r="I17" s="282"/>
      <c r="J17" s="74"/>
      <c r="K17" s="130" t="str">
        <f>IF(AND(D17="",E17=""),"Initiativen fehlen","")</f>
        <v>Initiativen fehlen</v>
      </c>
      <c r="L17" s="131"/>
      <c r="M17" s="25"/>
    </row>
    <row r="18" spans="1:13" ht="38.25" x14ac:dyDescent="0.25">
      <c r="A18" s="25"/>
      <c r="B18" s="88" t="s">
        <v>104</v>
      </c>
      <c r="C18" s="126" t="s">
        <v>105</v>
      </c>
      <c r="D18" s="94"/>
      <c r="E18" s="119"/>
      <c r="F18" s="120"/>
      <c r="G18" s="120"/>
      <c r="H18" s="120"/>
      <c r="I18" s="121" t="s">
        <v>239</v>
      </c>
      <c r="J18" s="74"/>
      <c r="K18" s="130" t="str">
        <f>IF(AND(E18="",F18="",G18="",H18="",I18=""),"Eingabe fehlt",IF(COUNTA(E18:I18)&gt;1, "Nur eine Bewertung pro Unterbereich möglich", ""))</f>
        <v/>
      </c>
      <c r="L18" s="131"/>
      <c r="M18" s="25"/>
    </row>
    <row r="19" spans="1:13" x14ac:dyDescent="0.25">
      <c r="A19" s="25"/>
      <c r="B19" s="92" t="s">
        <v>106</v>
      </c>
      <c r="C19" s="53" t="s">
        <v>107</v>
      </c>
      <c r="D19" s="94"/>
      <c r="E19" s="276"/>
      <c r="F19" s="276"/>
      <c r="G19" s="276"/>
      <c r="H19" s="276"/>
      <c r="I19" s="277"/>
      <c r="J19" s="74"/>
      <c r="K19" s="130" t="str">
        <f>IF(AND(E19="",D19=""),"Angabe fehlt","")</f>
        <v>Angabe fehlt</v>
      </c>
      <c r="L19" s="131"/>
      <c r="M19" s="25"/>
    </row>
    <row r="20" spans="1:13" ht="38.25" x14ac:dyDescent="0.25">
      <c r="A20" s="25"/>
      <c r="B20" s="88" t="s">
        <v>108</v>
      </c>
      <c r="C20" s="53" t="s">
        <v>254</v>
      </c>
      <c r="D20" s="94"/>
      <c r="E20" s="119"/>
      <c r="F20" s="120"/>
      <c r="G20" s="120"/>
      <c r="H20" s="120"/>
      <c r="I20" s="121" t="s">
        <v>239</v>
      </c>
      <c r="J20" s="74" t="str">
        <f t="shared" si="0"/>
        <v>x</v>
      </c>
      <c r="K20" s="130" t="str">
        <f>IF(AND(E20="",F20="",G20="",H20="",I20=""),"Eingabe fehlt",IF(COUNTA(E20:I20)&gt;1, "Nur eine Bewertung pro Unterbereich möglich", ""))</f>
        <v/>
      </c>
      <c r="L20" s="131" t="str">
        <f>IF(AND(G20="",H20="",I20=""),"","Öffentlichkeitsarbeit im Bereich Energie, Klima- und Umweltschutz stärken.")</f>
        <v>Öffentlichkeitsarbeit im Bereich Energie, Klima- und Umweltschutz stärken.</v>
      </c>
      <c r="M20" s="25"/>
    </row>
    <row r="21" spans="1:13" ht="25.5" x14ac:dyDescent="0.25">
      <c r="A21" s="25"/>
      <c r="B21" s="92" t="s">
        <v>109</v>
      </c>
      <c r="C21" s="53" t="s">
        <v>84</v>
      </c>
      <c r="D21" s="94"/>
      <c r="E21" s="276"/>
      <c r="F21" s="276"/>
      <c r="G21" s="276"/>
      <c r="H21" s="276"/>
      <c r="I21" s="277"/>
      <c r="J21" s="74"/>
      <c r="K21" s="130" t="str">
        <f>IF(AND(E21="",D21=""),"Initiativen fehlen", "")</f>
        <v>Initiativen fehlen</v>
      </c>
      <c r="L21" s="131"/>
      <c r="M21" s="25"/>
    </row>
    <row r="22" spans="1:13" ht="37.5" customHeight="1" x14ac:dyDescent="0.25">
      <c r="A22" s="25"/>
      <c r="B22" s="88" t="s">
        <v>110</v>
      </c>
      <c r="C22" s="53" t="s">
        <v>255</v>
      </c>
      <c r="D22" s="94"/>
      <c r="E22" s="119"/>
      <c r="F22" s="120"/>
      <c r="G22" s="120"/>
      <c r="H22" s="120"/>
      <c r="I22" s="121" t="s">
        <v>239</v>
      </c>
      <c r="J22" s="74" t="str">
        <f>IF(AND(E22="",F22="",G22="",H22="",I22=""),"","x")</f>
        <v>x</v>
      </c>
      <c r="K22" s="130" t="str">
        <f>IF(AND(E22="",F22="",G22="",H22="",I22=""),"Eingabe fehlt",IF(COUNTA(E22:I22)&gt;1, "Nur eine Bewertung pro Unterbereich möglich", ""))</f>
        <v/>
      </c>
      <c r="L22" s="131" t="str">
        <f>IF(AND(G22="",H22="",I22=""),"","Ermittlung der bereits bestehenden Netze und Potential für neue Wärmeversorgungsnetze abschätzen.")</f>
        <v>Ermittlung der bereits bestehenden Netze und Potential für neue Wärmeversorgungsnetze abschätzen.</v>
      </c>
      <c r="M22" s="25"/>
    </row>
    <row r="23" spans="1:13" x14ac:dyDescent="0.25">
      <c r="A23" s="25"/>
      <c r="B23" s="92" t="s">
        <v>111</v>
      </c>
      <c r="C23" s="53" t="s">
        <v>112</v>
      </c>
      <c r="D23" s="94"/>
      <c r="E23" s="280"/>
      <c r="F23" s="281"/>
      <c r="G23" s="281"/>
      <c r="H23" s="281"/>
      <c r="I23" s="282"/>
      <c r="J23" s="74"/>
      <c r="K23" s="130" t="str">
        <f>IF(AND(D23="",E23=""),"Angabe fehlt", "")</f>
        <v>Angabe fehlt</v>
      </c>
      <c r="L23" s="131"/>
      <c r="M23" s="25"/>
    </row>
    <row r="24" spans="1:13" ht="35.25" customHeight="1" x14ac:dyDescent="0.25">
      <c r="A24" s="25"/>
      <c r="B24" s="92" t="s">
        <v>113</v>
      </c>
      <c r="C24" s="53" t="s">
        <v>114</v>
      </c>
      <c r="D24" s="94"/>
      <c r="E24" s="276"/>
      <c r="F24" s="276"/>
      <c r="G24" s="276"/>
      <c r="H24" s="276"/>
      <c r="I24" s="277"/>
      <c r="J24" s="74"/>
      <c r="K24" s="130" t="str">
        <f>IF(AND(E24="",D24=""),"Angabe fehlt", "")</f>
        <v>Angabe fehlt</v>
      </c>
      <c r="L24" s="131" t="str">
        <f>IF(AND(G24="",H24="",I24="",D24=""),"Erhebung des Gesamtwärmebedarfs auf dem Gemeindegebiet.","")</f>
        <v>Erhebung des Gesamtwärmebedarfs auf dem Gemeindegebiet.</v>
      </c>
      <c r="M24" s="25"/>
    </row>
    <row r="25" spans="1:13" ht="38.25" x14ac:dyDescent="0.25">
      <c r="A25" s="25"/>
      <c r="B25" s="88" t="s">
        <v>115</v>
      </c>
      <c r="C25" s="53" t="s">
        <v>116</v>
      </c>
      <c r="D25" s="94"/>
      <c r="E25" s="119"/>
      <c r="F25" s="120"/>
      <c r="G25" s="120"/>
      <c r="H25" s="120"/>
      <c r="I25" s="121" t="s">
        <v>239</v>
      </c>
      <c r="J25" s="74" t="str">
        <f t="shared" ref="J25:J27" si="1">IF(AND(E25="",F25="",G25="",H25="",I25=""),"","x")</f>
        <v>x</v>
      </c>
      <c r="K25" s="130" t="str">
        <f>IF(AND(F25="",G25="",H25="",I25="",E25=""),"Eingabe fehlt",IF(COUNTA(E25:I25)&gt;1, "Nur eine Bewertung pro Unterbereich möglich", ""))</f>
        <v/>
      </c>
      <c r="L25" s="131"/>
      <c r="M25" s="25"/>
    </row>
    <row r="26" spans="1:13" ht="25.5" x14ac:dyDescent="0.25">
      <c r="A26" s="25"/>
      <c r="B26" s="92" t="s">
        <v>117</v>
      </c>
      <c r="C26" s="53" t="s">
        <v>84</v>
      </c>
      <c r="D26" s="94"/>
      <c r="E26" s="276"/>
      <c r="F26" s="276"/>
      <c r="G26" s="276"/>
      <c r="H26" s="276"/>
      <c r="I26" s="277"/>
      <c r="J26" s="74"/>
      <c r="K26" s="130" t="str">
        <f>IF(AND(D26="",E26=""),"Initiativen fehlen", "")</f>
        <v>Initiativen fehlen</v>
      </c>
      <c r="L26" s="131"/>
      <c r="M26" s="25"/>
    </row>
    <row r="27" spans="1:13" ht="25.5" x14ac:dyDescent="0.25">
      <c r="A27" s="25"/>
      <c r="B27" s="88" t="s">
        <v>118</v>
      </c>
      <c r="C27" s="53" t="s">
        <v>256</v>
      </c>
      <c r="D27" s="94"/>
      <c r="E27" s="119"/>
      <c r="F27" s="120"/>
      <c r="G27" s="120"/>
      <c r="H27" s="120"/>
      <c r="I27" s="121" t="s">
        <v>239</v>
      </c>
      <c r="J27" s="74" t="str">
        <f t="shared" si="1"/>
        <v>x</v>
      </c>
      <c r="K27" s="130" t="str">
        <f>IF(AND(E27="",F27="",G27="",H27="",I27=""),"Eingabe fehlt",IF(COUNTA(E27:I27)&gt;1, "Nur eine Bewertung pro Unterbereich möglich", ""))</f>
        <v/>
      </c>
      <c r="L27" s="131" t="str">
        <f>IF(AND(G27="",H27="",I27=""),"","Öffentlichkeitsarbeit im Bereich Energie, Klima- und Umweltschutz stärken.")</f>
        <v>Öffentlichkeitsarbeit im Bereich Energie, Klima- und Umweltschutz stärken.</v>
      </c>
      <c r="M27" s="25"/>
    </row>
    <row r="28" spans="1:13" ht="15.75" thickBot="1" x14ac:dyDescent="0.3">
      <c r="A28" s="25"/>
      <c r="B28" s="123" t="s">
        <v>119</v>
      </c>
      <c r="C28" s="55" t="s">
        <v>84</v>
      </c>
      <c r="D28" s="98"/>
      <c r="E28" s="278"/>
      <c r="F28" s="278"/>
      <c r="G28" s="278"/>
      <c r="H28" s="278"/>
      <c r="I28" s="279"/>
      <c r="J28" s="74"/>
      <c r="K28" s="130" t="str">
        <f>IF(AND(D28="",E28=""),"Angabe fehlt", "")</f>
        <v>Angabe fehlt</v>
      </c>
      <c r="L28" s="131"/>
      <c r="M28" s="25"/>
    </row>
    <row r="29" spans="1:13" ht="60" customHeight="1" thickBot="1" x14ac:dyDescent="0.3">
      <c r="A29" s="25"/>
      <c r="B29" s="124" t="s">
        <v>232</v>
      </c>
      <c r="C29" s="270" t="s">
        <v>198</v>
      </c>
      <c r="D29" s="271"/>
      <c r="E29" s="272">
        <f>IF(Verbrauchserfassung!I7="","",Verbrauchserfassung!I7)</f>
        <v>20</v>
      </c>
      <c r="F29" s="273"/>
      <c r="G29" s="273"/>
      <c r="H29" s="273"/>
      <c r="I29" s="99" t="s">
        <v>209</v>
      </c>
      <c r="J29" s="77" t="str">
        <f>IF(AND(E29="",F29="",G29="",H29=""),"","x")</f>
        <v>x</v>
      </c>
      <c r="K29" s="132" t="str">
        <f>IF(AND(E29="",F29="",G29="",H29=""),"Angabe im Blatt Verbrauchserfassung fehlt","")</f>
        <v/>
      </c>
      <c r="L29" s="133"/>
      <c r="M29" s="25"/>
    </row>
    <row r="30" spans="1:13" x14ac:dyDescent="0.25">
      <c r="A30" s="25"/>
      <c r="B30" s="25"/>
      <c r="C30" s="25"/>
      <c r="D30" s="25"/>
      <c r="E30" s="25"/>
      <c r="F30" s="25"/>
      <c r="G30" s="25"/>
      <c r="H30" s="25"/>
      <c r="I30" s="25"/>
      <c r="J30" s="25"/>
      <c r="K30" s="30"/>
      <c r="M30" s="25"/>
    </row>
    <row r="31" spans="1:13" ht="15.75" x14ac:dyDescent="0.25">
      <c r="A31" s="25"/>
      <c r="B31" s="42"/>
      <c r="C31" s="43">
        <f>L39</f>
        <v>7.8125</v>
      </c>
      <c r="D31" s="42" t="s">
        <v>223</v>
      </c>
      <c r="E31" s="42"/>
      <c r="F31" s="42"/>
      <c r="G31" s="42"/>
      <c r="H31" s="42"/>
      <c r="I31" s="42"/>
      <c r="J31" s="42"/>
      <c r="K31" s="42"/>
      <c r="L31" s="42"/>
      <c r="M31" s="25"/>
    </row>
    <row r="32" spans="1:13" x14ac:dyDescent="0.25">
      <c r="A32" s="25"/>
      <c r="B32" s="25"/>
      <c r="C32" s="25"/>
      <c r="D32" s="25"/>
      <c r="E32" s="25"/>
      <c r="F32" s="26"/>
      <c r="G32" s="26"/>
      <c r="H32" s="26"/>
      <c r="I32" s="26"/>
      <c r="J32" s="26"/>
      <c r="K32" s="26"/>
      <c r="L32" s="26"/>
      <c r="M32" s="25"/>
    </row>
    <row r="33" spans="1:13" x14ac:dyDescent="0.25">
      <c r="A33" s="25"/>
      <c r="B33" s="25"/>
      <c r="C33" s="25"/>
      <c r="D33" s="25"/>
      <c r="E33" s="26">
        <f>COUNTIF(E10,"")</f>
        <v>1</v>
      </c>
      <c r="F33" s="26">
        <f>COUNTIF(F10,"")</f>
        <v>1</v>
      </c>
      <c r="G33" s="26">
        <f>COUNTIF(G10,"")</f>
        <v>1</v>
      </c>
      <c r="H33" s="26">
        <f>COUNTIF(H10,"")</f>
        <v>1</v>
      </c>
      <c r="I33" s="26">
        <f>COUNTIF(I10,"")</f>
        <v>0</v>
      </c>
      <c r="J33" s="26"/>
      <c r="K33" s="26"/>
      <c r="L33" s="26"/>
      <c r="M33" s="25"/>
    </row>
    <row r="34" spans="1:13" x14ac:dyDescent="0.25">
      <c r="A34" s="25"/>
      <c r="B34" s="25"/>
      <c r="C34" s="25"/>
      <c r="D34" s="25"/>
      <c r="E34" s="26">
        <f>COUNTIF(E12,"")</f>
        <v>1</v>
      </c>
      <c r="F34" s="26">
        <f>COUNTIF(F12,"")</f>
        <v>1</v>
      </c>
      <c r="G34" s="26">
        <f>COUNTIF(G12,"")</f>
        <v>1</v>
      </c>
      <c r="H34" s="26">
        <f>COUNTIF(H12,"")</f>
        <v>1</v>
      </c>
      <c r="I34" s="26">
        <f>COUNTIF(I12,"")</f>
        <v>0</v>
      </c>
      <c r="J34" s="26"/>
      <c r="K34" s="26"/>
      <c r="L34" s="26"/>
      <c r="M34" s="25"/>
    </row>
    <row r="35" spans="1:13" x14ac:dyDescent="0.25">
      <c r="A35" s="25"/>
      <c r="B35" s="25"/>
      <c r="C35" s="25"/>
      <c r="D35" s="25"/>
      <c r="E35" s="26">
        <f>COUNTIF(E14,"")</f>
        <v>1</v>
      </c>
      <c r="F35" s="26">
        <f>COUNTIF(F14,"")</f>
        <v>1</v>
      </c>
      <c r="G35" s="26">
        <f>COUNTIF(G14,"")</f>
        <v>1</v>
      </c>
      <c r="H35" s="26">
        <f>COUNTIF(H14,"")</f>
        <v>1</v>
      </c>
      <c r="I35" s="26">
        <f>COUNTIF(I14,"")</f>
        <v>0</v>
      </c>
      <c r="J35" s="26"/>
      <c r="K35" s="26"/>
      <c r="L35" s="26"/>
      <c r="M35" s="25"/>
    </row>
    <row r="36" spans="1:13" x14ac:dyDescent="0.25">
      <c r="A36" s="25"/>
      <c r="B36" s="25"/>
      <c r="C36" s="25"/>
      <c r="D36" s="25"/>
      <c r="E36" s="26">
        <f>COUNTIF(E16,"")</f>
        <v>1</v>
      </c>
      <c r="F36" s="26">
        <f>COUNTIF(F16,"")</f>
        <v>1</v>
      </c>
      <c r="G36" s="26">
        <f>COUNTIF(G16,"")</f>
        <v>1</v>
      </c>
      <c r="H36" s="26">
        <f>COUNTIF(H16,"")</f>
        <v>1</v>
      </c>
      <c r="I36" s="26">
        <f>COUNTIF(I16,"")</f>
        <v>0</v>
      </c>
      <c r="J36" s="26"/>
      <c r="K36" s="26"/>
      <c r="L36" s="26"/>
      <c r="M36" s="25"/>
    </row>
    <row r="37" spans="1:13" x14ac:dyDescent="0.25">
      <c r="A37" s="25"/>
      <c r="B37" s="25"/>
      <c r="C37" s="25"/>
      <c r="D37" s="25"/>
      <c r="E37" s="26">
        <f>COUNTIF(E27,"")</f>
        <v>1</v>
      </c>
      <c r="F37" s="26">
        <f>COUNTIF(F27,"")</f>
        <v>1</v>
      </c>
      <c r="G37" s="26">
        <f>COUNTIF(G27,"")</f>
        <v>1</v>
      </c>
      <c r="H37" s="26">
        <f>COUNTIF(H27,"")</f>
        <v>1</v>
      </c>
      <c r="I37" s="26">
        <f>COUNTIF(I27,"")</f>
        <v>0</v>
      </c>
      <c r="J37" s="26"/>
      <c r="K37" s="26">
        <v>95</v>
      </c>
      <c r="L37" s="27" t="s">
        <v>204</v>
      </c>
      <c r="M37" s="25"/>
    </row>
    <row r="38" spans="1:13" x14ac:dyDescent="0.25">
      <c r="A38" s="25"/>
      <c r="B38" s="25"/>
      <c r="C38" s="25"/>
      <c r="D38" s="25"/>
      <c r="E38" s="26">
        <f>COUNTIF(E20,"")</f>
        <v>1</v>
      </c>
      <c r="F38" s="26">
        <f>COUNTIF(F20,"")</f>
        <v>1</v>
      </c>
      <c r="G38" s="26">
        <f>COUNTIF(G20,"")</f>
        <v>1</v>
      </c>
      <c r="H38" s="26">
        <f>COUNTIF(H20,"")</f>
        <v>1</v>
      </c>
      <c r="I38" s="26">
        <f>COUNTIF(I20,"")</f>
        <v>0</v>
      </c>
      <c r="J38" s="26"/>
      <c r="K38" s="26">
        <f>IF(AND(K10="",K12="",K14="",K16="",K20="",K25="",K22="",K27=""),E43+F43+G43+H43+I43,"")</f>
        <v>4.75</v>
      </c>
      <c r="L38" s="26">
        <f>IF(K38="","",K38*100/K37)</f>
        <v>5</v>
      </c>
      <c r="M38" s="25"/>
    </row>
    <row r="39" spans="1:13" x14ac:dyDescent="0.25">
      <c r="A39" s="25"/>
      <c r="B39" s="25"/>
      <c r="C39" s="25"/>
      <c r="D39" s="25"/>
      <c r="E39" s="26">
        <f>COUNTIF(E22,"")</f>
        <v>1</v>
      </c>
      <c r="F39" s="26">
        <f>COUNTIF(F22,"")</f>
        <v>1</v>
      </c>
      <c r="G39" s="26">
        <f>COUNTIF(G22,"")</f>
        <v>1</v>
      </c>
      <c r="H39" s="26">
        <f>COUNTIF(H22,"")</f>
        <v>1</v>
      </c>
      <c r="I39" s="26">
        <f>COUNTIF(I22,"")</f>
        <v>0</v>
      </c>
      <c r="J39" s="26"/>
      <c r="K39" s="26"/>
      <c r="L39" s="28">
        <f>IFERROR(IF(Verbrauchserfassung!S9=100,SUM(Verbrauchserfassung!R9:R109),""),"")</f>
        <v>7.8125</v>
      </c>
      <c r="M39" s="25"/>
    </row>
    <row r="40" spans="1:13" x14ac:dyDescent="0.25">
      <c r="A40" s="25"/>
      <c r="B40" s="25"/>
      <c r="C40" s="25"/>
      <c r="D40" s="25"/>
      <c r="E40" s="26">
        <f>COUNTIF(E25,"")</f>
        <v>1</v>
      </c>
      <c r="F40" s="26">
        <f>COUNTIF(F25,"")</f>
        <v>1</v>
      </c>
      <c r="G40" s="26">
        <f>COUNTIF(G25,"")</f>
        <v>1</v>
      </c>
      <c r="H40" s="26">
        <f>COUNTIF(H25,"")</f>
        <v>1</v>
      </c>
      <c r="I40" s="26">
        <f>COUNTIF(I25,"")</f>
        <v>0</v>
      </c>
      <c r="J40" s="26"/>
      <c r="K40" s="26"/>
      <c r="L40" s="26"/>
      <c r="M40" s="25"/>
    </row>
    <row r="41" spans="1:13" x14ac:dyDescent="0.25">
      <c r="A41" s="25"/>
      <c r="B41" s="25"/>
      <c r="C41" s="25"/>
      <c r="D41" s="25"/>
      <c r="E41" s="26"/>
      <c r="F41" s="26"/>
      <c r="G41" s="26"/>
      <c r="H41" s="26"/>
      <c r="I41" s="26"/>
      <c r="J41" s="26"/>
      <c r="K41" s="26"/>
      <c r="L41" s="26"/>
      <c r="M41" s="25"/>
    </row>
    <row r="42" spans="1:13" x14ac:dyDescent="0.25">
      <c r="A42" s="25"/>
      <c r="B42" s="25"/>
      <c r="C42" s="25"/>
      <c r="D42" s="25"/>
      <c r="E42" s="26">
        <f>(1-E33)+(1-E34)+(1-E35)+(1-E36)+(1-E37)+(1-E38)+(1-E39)+(1-E40)</f>
        <v>0</v>
      </c>
      <c r="F42" s="26">
        <f t="shared" ref="F42:H42" si="2">(1-F33)+(1-F34)+(1-F35)+(1-F36)+(1-F37)+(1-F38)+(1-F39)+(1-F40)</f>
        <v>0</v>
      </c>
      <c r="G42" s="26">
        <f t="shared" si="2"/>
        <v>0</v>
      </c>
      <c r="H42" s="26">
        <f t="shared" si="2"/>
        <v>0</v>
      </c>
      <c r="I42" s="26">
        <f>(1-I33)+(1-I34)+(1-I35)+(1-I36)+(1-I37)+(1-I38)+(1-I39)+(1-I40)</f>
        <v>8</v>
      </c>
      <c r="J42" s="26"/>
      <c r="K42" s="26"/>
      <c r="L42" s="28"/>
      <c r="M42" s="25"/>
    </row>
    <row r="43" spans="1:13" x14ac:dyDescent="0.25">
      <c r="A43" s="25"/>
      <c r="B43" s="25"/>
      <c r="C43" s="25"/>
      <c r="D43" s="25"/>
      <c r="E43" s="26">
        <f>E42*E47/$E$45</f>
        <v>0</v>
      </c>
      <c r="F43" s="26">
        <f t="shared" ref="F43:H43" si="3">F42*F47/$E$45</f>
        <v>0</v>
      </c>
      <c r="G43" s="26">
        <f t="shared" si="3"/>
        <v>0</v>
      </c>
      <c r="H43" s="26">
        <f t="shared" si="3"/>
        <v>0</v>
      </c>
      <c r="I43" s="26">
        <f>I42*I47/$E$45</f>
        <v>4.75</v>
      </c>
      <c r="J43" s="26"/>
      <c r="K43" s="26"/>
      <c r="L43" s="26"/>
      <c r="M43" s="25"/>
    </row>
    <row r="44" spans="1:13" ht="18" customHeight="1" x14ac:dyDescent="0.25">
      <c r="A44" s="25"/>
      <c r="B44" s="25"/>
      <c r="C44" s="25"/>
      <c r="D44" s="25"/>
      <c r="E44" s="26"/>
      <c r="F44" s="26"/>
      <c r="G44" s="26"/>
      <c r="H44" s="26"/>
      <c r="I44" s="26"/>
      <c r="J44" s="26"/>
      <c r="K44" s="26"/>
      <c r="L44" s="26"/>
      <c r="M44" s="25"/>
    </row>
    <row r="45" spans="1:13" x14ac:dyDescent="0.25">
      <c r="A45" s="25"/>
      <c r="B45" s="25"/>
      <c r="C45" s="25"/>
      <c r="D45" s="25"/>
      <c r="E45" s="26">
        <f>8*5-SUM(E33:I40)</f>
        <v>8</v>
      </c>
      <c r="F45" s="26"/>
      <c r="G45" s="26"/>
      <c r="H45" s="26"/>
      <c r="I45" s="26"/>
      <c r="J45" s="26"/>
      <c r="K45" s="26"/>
      <c r="L45" s="26"/>
      <c r="M45" s="25"/>
    </row>
    <row r="46" spans="1:13" x14ac:dyDescent="0.25">
      <c r="A46" s="25"/>
      <c r="B46" s="25"/>
      <c r="C46" s="25"/>
      <c r="D46" s="25"/>
      <c r="E46" s="26"/>
      <c r="F46" s="26"/>
      <c r="G46" s="26"/>
      <c r="H46" s="26"/>
      <c r="I46" s="26"/>
      <c r="J46" s="26"/>
      <c r="K46" s="26"/>
      <c r="L46" s="26"/>
      <c r="M46" s="25"/>
    </row>
    <row r="47" spans="1:13" x14ac:dyDescent="0.25">
      <c r="A47" s="25"/>
      <c r="B47" s="25"/>
      <c r="C47" s="25"/>
      <c r="D47" s="25"/>
      <c r="E47" s="26">
        <v>95</v>
      </c>
      <c r="F47" s="26">
        <v>71.25</v>
      </c>
      <c r="G47" s="26">
        <v>47.5</v>
      </c>
      <c r="H47" s="26">
        <v>23.75</v>
      </c>
      <c r="I47" s="26">
        <v>4.75</v>
      </c>
      <c r="J47" s="26"/>
      <c r="K47" s="26"/>
      <c r="L47" s="26"/>
      <c r="M47" s="25"/>
    </row>
    <row r="48" spans="1:13" x14ac:dyDescent="0.25">
      <c r="A48" s="25"/>
      <c r="B48" s="25"/>
      <c r="C48" s="25"/>
      <c r="D48" s="25"/>
      <c r="E48" s="26"/>
      <c r="F48" s="25"/>
      <c r="G48" s="25"/>
      <c r="H48" s="25"/>
      <c r="I48" s="25"/>
      <c r="J48" s="25"/>
      <c r="K48" s="25"/>
      <c r="L48" s="25"/>
      <c r="M48" s="25"/>
    </row>
  </sheetData>
  <sheetProtection algorithmName="SHA-512" hashValue="a2k9LDrTPbzLVrb7Zgfnz6FQt5eyoM3ipqEWRRnKOA/RzdwTZP/iL4rb7PgGf7zg6M5U/3CBh6+NOZU42nU/2w==" saltValue="wphfH4UPjzBP2vcUY6ZsPA==" spinCount="100000" sheet="1" objects="1" scenarios="1" formatRows="0"/>
  <mergeCells count="18">
    <mergeCell ref="J7:L8"/>
    <mergeCell ref="E23:I23"/>
    <mergeCell ref="E17:I17"/>
    <mergeCell ref="E11:I11"/>
    <mergeCell ref="E13:I13"/>
    <mergeCell ref="E15:I15"/>
    <mergeCell ref="E19:I19"/>
    <mergeCell ref="E21:I21"/>
    <mergeCell ref="E24:I24"/>
    <mergeCell ref="E26:I26"/>
    <mergeCell ref="E28:I28"/>
    <mergeCell ref="C29:D29"/>
    <mergeCell ref="E29:H29"/>
    <mergeCell ref="B7:B8"/>
    <mergeCell ref="C7:C8"/>
    <mergeCell ref="D7:D8"/>
    <mergeCell ref="E7:I7"/>
    <mergeCell ref="C9:D9"/>
  </mergeCells>
  <pageMargins left="0.7" right="0.7" top="0.78740157499999996" bottom="0.78740157499999996" header="0.3" footer="0.3"/>
  <pageSetup paperSize="9" scale="60" fitToHeight="0" orientation="landscape" r:id="rId1"/>
  <ignoredErrors>
    <ignoredError sqref="J27 L20 K11 K15 K13 K19 K17 K21" formula="1"/>
    <ignoredError sqref="K12" formula="1" formulaRange="1"/>
    <ignoredError sqref="K14 K16 K18 K22 K20 K27 K25"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62C8-E47C-49A9-A3FF-651B1314B289}">
  <sheetPr>
    <pageSetUpPr fitToPage="1"/>
  </sheetPr>
  <dimension ref="A1:N47"/>
  <sheetViews>
    <sheetView zoomScale="80" zoomScaleNormal="80" workbookViewId="0">
      <selection activeCell="R23" sqref="R23"/>
    </sheetView>
  </sheetViews>
  <sheetFormatPr baseColWidth="10" defaultRowHeight="15" x14ac:dyDescent="0.25"/>
  <cols>
    <col min="1" max="1" width="2.85546875" customWidth="1"/>
    <col min="2" max="2" width="9.7109375" customWidth="1"/>
    <col min="3" max="3" width="63.7109375" customWidth="1"/>
    <col min="4" max="4" width="44.7109375" customWidth="1"/>
    <col min="5" max="9" width="4.7109375" customWidth="1"/>
    <col min="10" max="10" width="10.28515625" customWidth="1"/>
    <col min="11" max="11" width="13.140625" customWidth="1"/>
    <col min="12" max="12" width="47.7109375" customWidth="1"/>
  </cols>
  <sheetData>
    <row r="1" spans="1:13" ht="15.95" customHeight="1" x14ac:dyDescent="0.25">
      <c r="A1" s="25"/>
      <c r="B1" s="8"/>
      <c r="C1" s="8"/>
      <c r="D1" s="8"/>
      <c r="E1" s="8"/>
      <c r="F1" s="8"/>
      <c r="G1" s="8"/>
      <c r="H1" s="8"/>
      <c r="I1" s="8"/>
      <c r="J1" s="8"/>
      <c r="K1" s="8"/>
      <c r="L1" s="8"/>
      <c r="M1" s="25"/>
    </row>
    <row r="2" spans="1:13" ht="15.95" customHeight="1" x14ac:dyDescent="0.25">
      <c r="A2" s="25"/>
      <c r="B2" s="8"/>
      <c r="C2" s="8"/>
      <c r="D2" s="8"/>
      <c r="E2" s="8"/>
      <c r="F2" s="8"/>
      <c r="G2" s="8"/>
      <c r="H2" s="9" t="s">
        <v>2</v>
      </c>
      <c r="I2" s="8"/>
      <c r="J2" s="8"/>
      <c r="K2" s="8"/>
      <c r="L2" s="8"/>
      <c r="M2" s="25"/>
    </row>
    <row r="3" spans="1:13" ht="15.95" customHeight="1" x14ac:dyDescent="0.25">
      <c r="A3" s="25"/>
      <c r="B3" s="8"/>
      <c r="C3" s="8"/>
      <c r="D3" s="8"/>
      <c r="E3" s="8"/>
      <c r="F3" s="8"/>
      <c r="G3" s="8"/>
      <c r="H3" s="10" t="s">
        <v>3</v>
      </c>
      <c r="I3" s="8"/>
      <c r="J3" s="8"/>
      <c r="K3" s="8"/>
      <c r="L3" s="8"/>
      <c r="M3" s="25"/>
    </row>
    <row r="4" spans="1:13" ht="15.95" customHeight="1" x14ac:dyDescent="0.25">
      <c r="A4" s="25"/>
      <c r="B4" s="8"/>
      <c r="C4" s="8"/>
      <c r="D4" s="8"/>
      <c r="E4" s="8"/>
      <c r="F4" s="8"/>
      <c r="G4" s="8"/>
      <c r="H4" s="10" t="str">
        <f>'KlimaGemeinde Light'!D17</f>
        <v>Kugelschreiber</v>
      </c>
      <c r="I4" s="8"/>
      <c r="J4" s="8"/>
      <c r="K4" s="8"/>
      <c r="L4" s="8"/>
      <c r="M4" s="25"/>
    </row>
    <row r="5" spans="1:13" ht="15.95" customHeight="1" x14ac:dyDescent="0.25">
      <c r="A5" s="25"/>
      <c r="B5" s="8"/>
      <c r="C5" s="8"/>
      <c r="D5" s="8"/>
      <c r="E5" s="8"/>
      <c r="F5" s="6"/>
      <c r="G5" s="6"/>
      <c r="H5" s="6"/>
      <c r="I5" s="6"/>
      <c r="J5" s="6"/>
      <c r="K5" s="6"/>
      <c r="L5" s="6"/>
      <c r="M5" s="25"/>
    </row>
    <row r="6" spans="1:13" ht="15.75" customHeight="1" thickBot="1" x14ac:dyDescent="0.3">
      <c r="A6" s="25"/>
      <c r="B6" s="25"/>
      <c r="C6" s="25"/>
      <c r="D6" s="25"/>
      <c r="E6" s="25"/>
      <c r="F6" s="25"/>
      <c r="G6" s="25"/>
      <c r="H6" s="25"/>
      <c r="I6" s="25"/>
      <c r="J6" s="25"/>
      <c r="K6" s="25"/>
      <c r="L6" s="25"/>
      <c r="M6" s="25"/>
    </row>
    <row r="7" spans="1:13" x14ac:dyDescent="0.25">
      <c r="A7" s="25"/>
      <c r="B7" s="257" t="s">
        <v>19</v>
      </c>
      <c r="C7" s="257" t="s">
        <v>20</v>
      </c>
      <c r="D7" s="257" t="s">
        <v>21</v>
      </c>
      <c r="E7" s="259" t="s">
        <v>22</v>
      </c>
      <c r="F7" s="260"/>
      <c r="G7" s="260"/>
      <c r="H7" s="260"/>
      <c r="I7" s="261"/>
      <c r="J7" s="142"/>
      <c r="K7" s="134"/>
      <c r="L7" s="135"/>
      <c r="M7" s="25"/>
    </row>
    <row r="8" spans="1:13" ht="15.75" thickBot="1" x14ac:dyDescent="0.3">
      <c r="A8" s="25"/>
      <c r="B8" s="258"/>
      <c r="C8" s="258"/>
      <c r="D8" s="258"/>
      <c r="E8" s="11">
        <v>1</v>
      </c>
      <c r="F8" s="12">
        <v>2</v>
      </c>
      <c r="G8" s="12">
        <v>3</v>
      </c>
      <c r="H8" s="13">
        <v>4</v>
      </c>
      <c r="I8" s="14">
        <v>5</v>
      </c>
      <c r="J8" s="143"/>
      <c r="K8" s="144"/>
      <c r="L8" s="145"/>
      <c r="M8" s="25"/>
    </row>
    <row r="9" spans="1:13" ht="15.75" thickBot="1" x14ac:dyDescent="0.3">
      <c r="A9" s="25"/>
      <c r="B9" s="23" t="s">
        <v>120</v>
      </c>
      <c r="C9" s="262" t="s">
        <v>121</v>
      </c>
      <c r="D9" s="263"/>
      <c r="E9" s="15"/>
      <c r="F9" s="15"/>
      <c r="G9" s="15"/>
      <c r="H9" s="15"/>
      <c r="I9" s="16"/>
      <c r="J9" s="85" t="s">
        <v>27</v>
      </c>
      <c r="K9" s="87"/>
      <c r="L9" s="127" t="s">
        <v>30</v>
      </c>
      <c r="M9" s="25"/>
    </row>
    <row r="10" spans="1:13" ht="42" customHeight="1" x14ac:dyDescent="0.25">
      <c r="A10" s="25"/>
      <c r="B10" s="48" t="s">
        <v>122</v>
      </c>
      <c r="C10" s="150" t="s">
        <v>123</v>
      </c>
      <c r="D10" s="115"/>
      <c r="E10" s="117"/>
      <c r="F10" s="117"/>
      <c r="G10" s="117"/>
      <c r="H10" s="117"/>
      <c r="I10" s="118" t="s">
        <v>239</v>
      </c>
      <c r="J10" s="136" t="str">
        <f>IF(AND(E10="",F10="",G10="",H10="",I10=""),"","x")</f>
        <v>x</v>
      </c>
      <c r="K10" s="130" t="str">
        <f>IF(AND(E10="",F10="",G10="",H10="",I10=""),"Eingabe fehlt",IF(COUNTA(E10:I10)&gt;1, "Nur eine Bewertung pro Unterbereich möglich", ""))</f>
        <v/>
      </c>
      <c r="L10" s="131" t="str">
        <f>IF(AND(G10="",H10="",I10=""),"","Recherche von Förderungsmaßnahmen, die in anderen Gemeinden durchgeführt werden! Mögliche Förderungsmaßnahmen besprechen.")</f>
        <v>Recherche von Förderungsmaßnahmen, die in anderen Gemeinden durchgeführt werden! Mögliche Förderungsmaßnahmen besprechen.</v>
      </c>
      <c r="M10" s="25"/>
    </row>
    <row r="11" spans="1:13" ht="43.5" customHeight="1" x14ac:dyDescent="0.25">
      <c r="A11" s="25"/>
      <c r="B11" s="49" t="s">
        <v>124</v>
      </c>
      <c r="C11" s="151" t="s">
        <v>257</v>
      </c>
      <c r="D11" s="95"/>
      <c r="E11" s="120"/>
      <c r="F11" s="120"/>
      <c r="G11" s="120"/>
      <c r="H11" s="120"/>
      <c r="I11" s="121" t="s">
        <v>239</v>
      </c>
      <c r="J11" s="136" t="str">
        <f>IF(AND(E11="",F11="",G11="",H11="",I11=""),"","x")</f>
        <v>x</v>
      </c>
      <c r="K11" s="130" t="str">
        <f>IF(AND(E11="",F11="",G11="",H11="",I11=""),"Eingabe fehlt",IF(COUNTA(E11:I11)&gt;1, "Nur eine Bewertung pro Unterbereich möglich", ""))</f>
        <v/>
      </c>
      <c r="L11" s="131" t="str">
        <f>IF(AND(G11="",H11="",I11=""),"","Öffentlichkeitsarbeit im Bereich Energie, Klima- und Umweltschutz stärken.")</f>
        <v>Öffentlichkeitsarbeit im Bereich Energie, Klima- und Umweltschutz stärken.</v>
      </c>
      <c r="M11" s="25"/>
    </row>
    <row r="12" spans="1:13" ht="21" customHeight="1" x14ac:dyDescent="0.25">
      <c r="A12" s="25"/>
      <c r="B12" s="49" t="s">
        <v>125</v>
      </c>
      <c r="C12" s="152" t="s">
        <v>233</v>
      </c>
      <c r="D12" s="94"/>
      <c r="E12" s="120"/>
      <c r="F12" s="120"/>
      <c r="G12" s="120"/>
      <c r="H12" s="120"/>
      <c r="I12" s="121" t="s">
        <v>239</v>
      </c>
      <c r="J12" s="136"/>
      <c r="K12" s="130" t="str">
        <f>IF(AND(E12="",F12="",G12="",H12="",I12=""),"Eingabe fehlt",IF(COUNTA(E12:I12)&gt;1, "Nur eine Bewertung pro Unterbereich möglich", ""))</f>
        <v/>
      </c>
      <c r="L12" s="131"/>
      <c r="M12" s="25"/>
    </row>
    <row r="13" spans="1:13" ht="25.5" x14ac:dyDescent="0.25">
      <c r="A13" s="25"/>
      <c r="B13" s="50" t="s">
        <v>126</v>
      </c>
      <c r="C13" s="151" t="s">
        <v>127</v>
      </c>
      <c r="D13" s="94"/>
      <c r="E13" s="276"/>
      <c r="F13" s="276"/>
      <c r="G13" s="276"/>
      <c r="H13" s="276"/>
      <c r="I13" s="277"/>
      <c r="J13" s="136"/>
      <c r="K13" s="130" t="str">
        <f>IF(AND(D13="",E13=""),"Eingabe fehlt","")</f>
        <v>Eingabe fehlt</v>
      </c>
      <c r="L13" s="131"/>
      <c r="M13" s="25"/>
    </row>
    <row r="14" spans="1:13" ht="25.5" x14ac:dyDescent="0.25">
      <c r="A14" s="25"/>
      <c r="B14" s="49" t="s">
        <v>128</v>
      </c>
      <c r="C14" s="152" t="s">
        <v>129</v>
      </c>
      <c r="D14" s="94"/>
      <c r="E14" s="120"/>
      <c r="F14" s="120"/>
      <c r="G14" s="120"/>
      <c r="H14" s="120"/>
      <c r="I14" s="121" t="s">
        <v>239</v>
      </c>
      <c r="J14" s="136"/>
      <c r="K14" s="130" t="str">
        <f>IF(AND(E14="",F14="",G14="",H14="",I14=""),"Eingabe fehlt",IF(COUNTA(E14:I14)&gt;1, "Nur eine Bewertung pro Unterbereich möglich", ""))</f>
        <v/>
      </c>
      <c r="L14" s="131" t="str">
        <f>IF(AND(G14="",H14="",I14=""),"","Überprüfung der energierelevanten Bereiche der Wasserversorgung (z.B. Pumpen)")</f>
        <v>Überprüfung der energierelevanten Bereiche der Wasserversorgung (z.B. Pumpen)</v>
      </c>
      <c r="M14" s="25"/>
    </row>
    <row r="15" spans="1:13" ht="25.5" x14ac:dyDescent="0.25">
      <c r="A15" s="25"/>
      <c r="B15" s="49" t="s">
        <v>130</v>
      </c>
      <c r="C15" s="151" t="s">
        <v>258</v>
      </c>
      <c r="D15" s="94"/>
      <c r="E15" s="120"/>
      <c r="F15" s="120"/>
      <c r="G15" s="120"/>
      <c r="H15" s="120"/>
      <c r="I15" s="121" t="s">
        <v>239</v>
      </c>
      <c r="J15" s="136" t="str">
        <f>IF(AND(E15="",F15="",G15="",H15="",I15=""),"","x")</f>
        <v>x</v>
      </c>
      <c r="K15" s="130" t="str">
        <f>IF(AND(E15="",F15="",G15="",H15="",I15=""),"Eingabe fehlt",IF(COUNTA(E15:I15)&gt;1, "Nur eine Bewertung pro Unterbereich möglich", ""))</f>
        <v/>
      </c>
      <c r="L15" s="131" t="str">
        <f>IF(AND(G15="",H15="",I15=""),"","Recherche des Stromverbrauches für die Wasserversorgung durchführen.")</f>
        <v>Recherche des Stromverbrauches für die Wasserversorgung durchführen.</v>
      </c>
      <c r="M15" s="25"/>
    </row>
    <row r="16" spans="1:13" x14ac:dyDescent="0.25">
      <c r="A16" s="25"/>
      <c r="B16" s="50" t="s">
        <v>131</v>
      </c>
      <c r="C16" s="151" t="s">
        <v>259</v>
      </c>
      <c r="D16" s="94"/>
      <c r="E16" s="283"/>
      <c r="F16" s="276"/>
      <c r="G16" s="276"/>
      <c r="H16" s="276"/>
      <c r="I16" s="277"/>
      <c r="J16" s="136"/>
      <c r="K16" s="130" t="str">
        <f>IF(AND(E16="",D16=""),"Eingabe fehlt", "")</f>
        <v>Eingabe fehlt</v>
      </c>
      <c r="L16" s="131"/>
      <c r="M16" s="25"/>
    </row>
    <row r="17" spans="1:14" x14ac:dyDescent="0.25">
      <c r="A17" s="25"/>
      <c r="B17" s="50" t="s">
        <v>132</v>
      </c>
      <c r="C17" s="151" t="s">
        <v>260</v>
      </c>
      <c r="D17" s="94"/>
      <c r="E17" s="283"/>
      <c r="F17" s="276"/>
      <c r="G17" s="276"/>
      <c r="H17" s="276"/>
      <c r="I17" s="277"/>
      <c r="J17" s="136"/>
      <c r="K17" s="130" t="str">
        <f>IF(AND(E17="",D17=""),"Eingabe fehlt", "")</f>
        <v>Eingabe fehlt</v>
      </c>
      <c r="L17" s="131"/>
      <c r="M17" s="25"/>
    </row>
    <row r="18" spans="1:14" ht="32.25" customHeight="1" x14ac:dyDescent="0.25">
      <c r="A18" s="25"/>
      <c r="B18" s="49" t="s">
        <v>133</v>
      </c>
      <c r="C18" s="152" t="s">
        <v>261</v>
      </c>
      <c r="D18" s="94"/>
      <c r="E18" s="120"/>
      <c r="F18" s="120"/>
      <c r="G18" s="120"/>
      <c r="H18" s="120"/>
      <c r="I18" s="121" t="s">
        <v>239</v>
      </c>
      <c r="J18" s="136"/>
      <c r="K18" s="130" t="str">
        <f>IF(AND(E18="",F18="",G18="",H18="",I18=""),"Eingabe fehlt",IF(COUNTA(E18:I18)&gt;1, "Nur eine Bewertung pro Unterbereich möglich", ""))</f>
        <v/>
      </c>
      <c r="L18" s="131"/>
      <c r="M18" s="25"/>
    </row>
    <row r="19" spans="1:14" ht="25.5" x14ac:dyDescent="0.25">
      <c r="A19" s="25"/>
      <c r="B19" s="50" t="s">
        <v>134</v>
      </c>
      <c r="C19" s="151" t="s">
        <v>127</v>
      </c>
      <c r="D19" s="94"/>
      <c r="E19" s="276"/>
      <c r="F19" s="276"/>
      <c r="G19" s="276"/>
      <c r="H19" s="276"/>
      <c r="I19" s="277"/>
      <c r="J19" s="136"/>
      <c r="K19" s="130" t="str">
        <f>IF(AND(E19="",D19=""),"Eingabe fehlt","")</f>
        <v>Eingabe fehlt</v>
      </c>
      <c r="L19" s="131"/>
      <c r="M19" s="25"/>
    </row>
    <row r="20" spans="1:14" ht="57" customHeight="1" x14ac:dyDescent="0.25">
      <c r="A20" s="25"/>
      <c r="B20" s="49" t="s">
        <v>135</v>
      </c>
      <c r="C20" s="152" t="s">
        <v>136</v>
      </c>
      <c r="D20" s="94"/>
      <c r="E20" s="120"/>
      <c r="F20" s="120"/>
      <c r="G20" s="120"/>
      <c r="H20" s="120"/>
      <c r="I20" s="121" t="s">
        <v>239</v>
      </c>
      <c r="J20" s="136"/>
      <c r="K20" s="130" t="str">
        <f>IF(AND(E20="",F20="",G20="",H20="",I20=""),"Eingabe fehlt",IF(COUNTA(E20:I20)&gt;1, "Nur eine Bewertung pro Bereich möglich", ""))</f>
        <v/>
      </c>
      <c r="L20" s="131" t="str">
        <f>IF(AND(G20="",H20="",I20=""),"","Überprüfung der energierelevanten Bereiche der Abwasserentsorgung (z.B. Stromerzeugung, Klärgasnutzung, Pumpen).")</f>
        <v>Überprüfung der energierelevanten Bereiche der Abwasserentsorgung (z.B. Stromerzeugung, Klärgasnutzung, Pumpen).</v>
      </c>
      <c r="M20" s="25"/>
    </row>
    <row r="21" spans="1:14" ht="25.5" x14ac:dyDescent="0.25">
      <c r="A21" s="25"/>
      <c r="B21" s="49" t="s">
        <v>137</v>
      </c>
      <c r="C21" s="151" t="s">
        <v>262</v>
      </c>
      <c r="D21" s="94"/>
      <c r="E21" s="120"/>
      <c r="F21" s="120"/>
      <c r="G21" s="120"/>
      <c r="H21" s="120"/>
      <c r="I21" s="121" t="s">
        <v>239</v>
      </c>
      <c r="J21" s="136" t="str">
        <f>IF(AND(E21="",F21="",G21="",H21="",I21=""),"","x")</f>
        <v>x</v>
      </c>
      <c r="K21" s="130" t="str">
        <f>IF(AND(E21="",F21="",G21="",H21="",I21=""),"Eingabe fehlt",IF(COUNTA(E21:I21)&gt;1, "Nur eine Bewertung pro Unterbereich möglich", ""))</f>
        <v/>
      </c>
      <c r="L21" s="131" t="str">
        <f>IF(AND(G21="",H21="",I21=""),"","Recherche des Stromverbrauches für die Abwasserentsorgung durchführen.")</f>
        <v>Recherche des Stromverbrauches für die Abwasserentsorgung durchführen.</v>
      </c>
      <c r="M21" s="25"/>
    </row>
    <row r="22" spans="1:14" x14ac:dyDescent="0.25">
      <c r="A22" s="25"/>
      <c r="B22" s="50" t="s">
        <v>138</v>
      </c>
      <c r="C22" s="151" t="s">
        <v>259</v>
      </c>
      <c r="D22" s="94"/>
      <c r="E22" s="283"/>
      <c r="F22" s="276"/>
      <c r="G22" s="276"/>
      <c r="H22" s="276"/>
      <c r="I22" s="277"/>
      <c r="J22" s="136"/>
      <c r="K22" s="130" t="str">
        <f>IF(AND(E22="",D22=""),"Eingabe fehlt","")</f>
        <v>Eingabe fehlt</v>
      </c>
      <c r="L22" s="131"/>
      <c r="M22" s="25"/>
    </row>
    <row r="23" spans="1:14" ht="25.5" x14ac:dyDescent="0.25">
      <c r="A23" s="25"/>
      <c r="B23" s="49" t="s">
        <v>139</v>
      </c>
      <c r="C23" s="151" t="s">
        <v>222</v>
      </c>
      <c r="D23" s="94"/>
      <c r="E23" s="120"/>
      <c r="F23" s="120"/>
      <c r="G23" s="120"/>
      <c r="H23" s="120"/>
      <c r="I23" s="121" t="s">
        <v>239</v>
      </c>
      <c r="J23" s="136" t="str">
        <f>IF(AND(E23="",F23="",G23="",H23="",I23=""),"","x")</f>
        <v>x</v>
      </c>
      <c r="K23" s="130" t="str">
        <f>IF(AND(E23="",F23="",G23="",H23="",I23=""),"Eingabe fehlt",IF(COUNTA(E23:I23)&gt;1, "Nur eine Bewertung pro Bereich möglich", ""))</f>
        <v/>
      </c>
      <c r="L23" s="131" t="str">
        <f>IF(AND(G23="",H23="",I23=""),"","Möglichkeiten überprüfen, um den Abfall energetisch zu verwerten.")</f>
        <v>Möglichkeiten überprüfen, um den Abfall energetisch zu verwerten.</v>
      </c>
      <c r="M23" s="25"/>
    </row>
    <row r="24" spans="1:14" ht="38.25" x14ac:dyDescent="0.25">
      <c r="A24" s="25"/>
      <c r="B24" s="49" t="s">
        <v>140</v>
      </c>
      <c r="C24" s="152" t="s">
        <v>141</v>
      </c>
      <c r="D24" s="137"/>
      <c r="E24" s="120"/>
      <c r="F24" s="120"/>
      <c r="G24" s="120"/>
      <c r="H24" s="120"/>
      <c r="I24" s="121" t="s">
        <v>239</v>
      </c>
      <c r="J24" s="136"/>
      <c r="K24" s="130" t="str">
        <f>IF(AND(E24="",F24="",G24="",H24="",I24=""),"Eingabe fehlt",IF(COUNTA(E24:I24)&gt;1, "Nur eine Bewertung pro Unterbereich möglich", ""))</f>
        <v/>
      </c>
      <c r="L24" s="131" t="str">
        <f>IF(AND(G24="",H24="",I24=""),"","Recherche durchführen, um die Menge des biogenen Abfalles zu erfahren.")</f>
        <v>Recherche durchführen, um die Menge des biogenen Abfalles zu erfahren.</v>
      </c>
      <c r="M24" s="25"/>
    </row>
    <row r="25" spans="1:14" ht="38.25" x14ac:dyDescent="0.25">
      <c r="A25" s="25"/>
      <c r="B25" s="49" t="s">
        <v>142</v>
      </c>
      <c r="C25" s="151" t="s">
        <v>143</v>
      </c>
      <c r="D25" s="94"/>
      <c r="E25" s="120"/>
      <c r="F25" s="120"/>
      <c r="G25" s="120"/>
      <c r="H25" s="120"/>
      <c r="I25" s="121" t="s">
        <v>239</v>
      </c>
      <c r="J25" s="136" t="str">
        <f>IF(AND(E25="",F25="",G25="",H25="",I25=""),"","x")</f>
        <v>x</v>
      </c>
      <c r="K25" s="130" t="str">
        <f>IF(AND(E25="",F25="",G25="",H25="",I25=""),"Eingabe fehlt",IF(COUNTA(E25:I25)&gt;1, "Nur eine Bewertung pro Unterbereich möglich", ""))</f>
        <v/>
      </c>
      <c r="L25" s="131" t="str">
        <f>IF(AND(G25="",H25="",I25=""),"","Öffentlichkeitsarbeit im Bereich Energie, Klima- und Umweltschutz stärken.")</f>
        <v>Öffentlichkeitsarbeit im Bereich Energie, Klima- und Umweltschutz stärken.</v>
      </c>
      <c r="M25" s="25"/>
    </row>
    <row r="26" spans="1:14" ht="39" thickBot="1" x14ac:dyDescent="0.3">
      <c r="A26" s="25"/>
      <c r="B26" s="51" t="s">
        <v>144</v>
      </c>
      <c r="C26" s="153" t="s">
        <v>234</v>
      </c>
      <c r="D26" s="98"/>
      <c r="E26" s="138"/>
      <c r="F26" s="138"/>
      <c r="G26" s="138"/>
      <c r="H26" s="138"/>
      <c r="I26" s="139" t="s">
        <v>239</v>
      </c>
      <c r="J26" s="140" t="str">
        <f>IF(AND(E26="",F26="",G26="",H26="",I26=""),"","x")</f>
        <v>x</v>
      </c>
      <c r="K26" s="132" t="str">
        <f>IF(AND(E26="",F26="",G26="",H26="",I26=""),"Eingabe fehlt",IF(COUNTA(E26:I26)&gt;1, "Nur eine Bewertung pro Unterbereich möglich", ""))</f>
        <v/>
      </c>
      <c r="L26" s="141" t="str">
        <f>IF(AND(G26="",H26="",I26=""),"","Potential für die Unterstützung solcher Maßnahmen durchführen.")</f>
        <v>Potential für die Unterstützung solcher Maßnahmen durchführen.</v>
      </c>
      <c r="M26" s="25"/>
    </row>
    <row r="27" spans="1:14" x14ac:dyDescent="0.25">
      <c r="A27" s="25"/>
      <c r="B27" s="25"/>
      <c r="C27" s="25"/>
      <c r="D27" s="25"/>
      <c r="E27" s="25"/>
      <c r="F27" s="25"/>
      <c r="G27" s="25"/>
      <c r="H27" s="25"/>
      <c r="I27" s="25"/>
      <c r="J27" s="25"/>
      <c r="K27" s="25"/>
      <c r="L27" s="25"/>
      <c r="M27" s="25"/>
    </row>
    <row r="28" spans="1:14" ht="15.75" x14ac:dyDescent="0.25">
      <c r="A28" s="25"/>
      <c r="B28" s="42"/>
      <c r="C28" s="43">
        <f>L37</f>
        <v>5</v>
      </c>
      <c r="D28" s="42" t="s">
        <v>223</v>
      </c>
      <c r="E28" s="42"/>
      <c r="F28" s="42"/>
      <c r="G28" s="42"/>
      <c r="H28" s="42"/>
      <c r="I28" s="42"/>
      <c r="J28" s="42"/>
      <c r="K28" s="42"/>
      <c r="L28" s="42"/>
      <c r="M28" s="25"/>
    </row>
    <row r="29" spans="1:14" x14ac:dyDescent="0.25">
      <c r="A29" s="25"/>
      <c r="B29" s="25"/>
      <c r="C29" s="25"/>
      <c r="D29" s="25"/>
      <c r="E29" s="25"/>
      <c r="F29" s="25"/>
      <c r="G29" s="25"/>
      <c r="H29" s="25"/>
      <c r="I29" s="45"/>
      <c r="J29" s="45"/>
      <c r="K29" s="45"/>
      <c r="L29" s="45"/>
      <c r="M29" s="25"/>
    </row>
    <row r="30" spans="1:14" x14ac:dyDescent="0.25">
      <c r="A30" s="25"/>
      <c r="B30" s="25"/>
      <c r="C30" s="25"/>
      <c r="D30" s="25"/>
      <c r="E30" s="26"/>
      <c r="F30" s="26"/>
      <c r="G30" s="26"/>
      <c r="H30" s="26"/>
      <c r="I30" s="26"/>
      <c r="J30" s="26"/>
      <c r="K30" s="26"/>
      <c r="L30" s="26"/>
      <c r="M30" s="26"/>
      <c r="N30" s="24"/>
    </row>
    <row r="31" spans="1:14" x14ac:dyDescent="0.25">
      <c r="A31" s="25"/>
      <c r="B31" s="25"/>
      <c r="C31" s="25"/>
      <c r="D31" s="25"/>
      <c r="E31" s="26"/>
      <c r="F31" s="26"/>
      <c r="G31" s="26"/>
      <c r="H31" s="26"/>
      <c r="I31" s="26"/>
      <c r="J31" s="26"/>
      <c r="K31" s="26"/>
      <c r="L31" s="26"/>
      <c r="M31" s="26"/>
      <c r="N31" s="24"/>
    </row>
    <row r="32" spans="1:14" x14ac:dyDescent="0.25">
      <c r="A32" s="25"/>
      <c r="B32" s="25"/>
      <c r="C32" s="25"/>
      <c r="D32" s="25"/>
      <c r="E32" s="26">
        <f>COUNTIF(E10:E11,"")</f>
        <v>2</v>
      </c>
      <c r="F32" s="26">
        <f t="shared" ref="F32:H32" si="0">COUNTIF(F10:F11,"")</f>
        <v>2</v>
      </c>
      <c r="G32" s="26">
        <f t="shared" si="0"/>
        <v>2</v>
      </c>
      <c r="H32" s="26">
        <f t="shared" si="0"/>
        <v>2</v>
      </c>
      <c r="I32" s="26">
        <f>COUNTIF(I10:I11,"")</f>
        <v>0</v>
      </c>
      <c r="J32" s="26"/>
      <c r="K32" s="26"/>
      <c r="L32" s="26"/>
      <c r="M32" s="26"/>
      <c r="N32" s="24"/>
    </row>
    <row r="33" spans="1:14" x14ac:dyDescent="0.25">
      <c r="A33" s="25"/>
      <c r="B33" s="25"/>
      <c r="C33" s="25"/>
      <c r="D33" s="25"/>
      <c r="E33" s="26">
        <f>COUNTIF(E15,"")</f>
        <v>1</v>
      </c>
      <c r="F33" s="26">
        <f t="shared" ref="F33:H33" si="1">COUNTIF(F15,"")</f>
        <v>1</v>
      </c>
      <c r="G33" s="26">
        <f t="shared" si="1"/>
        <v>1</v>
      </c>
      <c r="H33" s="26">
        <f t="shared" si="1"/>
        <v>1</v>
      </c>
      <c r="I33" s="26">
        <f>COUNTIF(I15,"")</f>
        <v>0</v>
      </c>
      <c r="J33" s="26"/>
      <c r="K33" s="26"/>
      <c r="L33" s="26"/>
      <c r="M33" s="26"/>
      <c r="N33" s="24"/>
    </row>
    <row r="34" spans="1:14" x14ac:dyDescent="0.25">
      <c r="A34" s="25"/>
      <c r="B34" s="25"/>
      <c r="C34" s="25"/>
      <c r="D34" s="25"/>
      <c r="E34" s="26">
        <f>COUNTIF(E21,"")</f>
        <v>1</v>
      </c>
      <c r="F34" s="26">
        <f t="shared" ref="F34:H34" si="2">COUNTIF(F21,"")</f>
        <v>1</v>
      </c>
      <c r="G34" s="26">
        <f t="shared" si="2"/>
        <v>1</v>
      </c>
      <c r="H34" s="26">
        <f t="shared" si="2"/>
        <v>1</v>
      </c>
      <c r="I34" s="26">
        <f>COUNTIF(I21,"")</f>
        <v>0</v>
      </c>
      <c r="J34" s="26"/>
      <c r="K34" s="26"/>
      <c r="L34" s="26"/>
      <c r="M34" s="26"/>
      <c r="N34" s="24"/>
    </row>
    <row r="35" spans="1:14" x14ac:dyDescent="0.25">
      <c r="A35" s="25"/>
      <c r="B35" s="25"/>
      <c r="C35" s="25"/>
      <c r="D35" s="25"/>
      <c r="E35" s="26">
        <f>COUNTIF(E23,"")</f>
        <v>1</v>
      </c>
      <c r="F35" s="26">
        <f t="shared" ref="F35:H35" si="3">COUNTIF(F23,"")</f>
        <v>1</v>
      </c>
      <c r="G35" s="26">
        <f t="shared" si="3"/>
        <v>1</v>
      </c>
      <c r="H35" s="26">
        <f t="shared" si="3"/>
        <v>1</v>
      </c>
      <c r="I35" s="26">
        <f>COUNTIF(I23,"")</f>
        <v>0</v>
      </c>
      <c r="J35" s="26"/>
      <c r="K35" s="26"/>
      <c r="L35" s="26"/>
      <c r="M35" s="26"/>
      <c r="N35" s="24"/>
    </row>
    <row r="36" spans="1:14" x14ac:dyDescent="0.25">
      <c r="A36" s="25"/>
      <c r="B36" s="25"/>
      <c r="C36" s="25"/>
      <c r="D36" s="25"/>
      <c r="E36" s="26">
        <f>COUNTIF(E25:E26,"")</f>
        <v>2</v>
      </c>
      <c r="F36" s="26">
        <f t="shared" ref="F36:H36" si="4">COUNTIF(F25:F26,"")</f>
        <v>2</v>
      </c>
      <c r="G36" s="26">
        <f t="shared" si="4"/>
        <v>2</v>
      </c>
      <c r="H36" s="26">
        <f t="shared" si="4"/>
        <v>2</v>
      </c>
      <c r="I36" s="26">
        <f>COUNTIF(I25:I26,"")</f>
        <v>0</v>
      </c>
      <c r="J36" s="26"/>
      <c r="K36" s="26">
        <v>95</v>
      </c>
      <c r="L36" s="27" t="s">
        <v>204</v>
      </c>
      <c r="M36" s="26"/>
      <c r="N36" s="24"/>
    </row>
    <row r="37" spans="1:14" x14ac:dyDescent="0.25">
      <c r="A37" s="25"/>
      <c r="B37" s="25"/>
      <c r="C37" s="25"/>
      <c r="D37" s="25"/>
      <c r="E37" s="26">
        <f>(2-E32)+(1-E33)+(1-E34)+(1-E35)+(2-E36)</f>
        <v>0</v>
      </c>
      <c r="F37" s="26">
        <f t="shared" ref="F37:I37" si="5">(2-F32)+(1-F33)+(1-F34)+(1-F35)+(2-F36)</f>
        <v>0</v>
      </c>
      <c r="G37" s="26">
        <f t="shared" si="5"/>
        <v>0</v>
      </c>
      <c r="H37" s="26">
        <f t="shared" si="5"/>
        <v>0</v>
      </c>
      <c r="I37" s="26">
        <f t="shared" si="5"/>
        <v>7</v>
      </c>
      <c r="J37" s="26"/>
      <c r="K37" s="26">
        <f>IF(AND(K10="",K11="",K15="",K21="",K23="",K25="",K26=""),E38+F38+G38+H38+I38,"")</f>
        <v>4.75</v>
      </c>
      <c r="L37" s="28">
        <f>IF(K37="","",K37*100/K36)</f>
        <v>5</v>
      </c>
      <c r="M37" s="26"/>
      <c r="N37" s="24"/>
    </row>
    <row r="38" spans="1:14" x14ac:dyDescent="0.25">
      <c r="A38" s="25"/>
      <c r="B38" s="25"/>
      <c r="C38" s="25"/>
      <c r="D38" s="25"/>
      <c r="E38" s="26">
        <f t="shared" ref="E38:G38" si="6">E37*E42/$E$40</f>
        <v>0</v>
      </c>
      <c r="F38" s="26">
        <f t="shared" si="6"/>
        <v>0</v>
      </c>
      <c r="G38" s="26">
        <f t="shared" si="6"/>
        <v>0</v>
      </c>
      <c r="H38" s="26">
        <f>H37*H42/$E$40</f>
        <v>0</v>
      </c>
      <c r="I38" s="26">
        <f>I37*I42/$E$40</f>
        <v>4.75</v>
      </c>
      <c r="J38" s="26"/>
      <c r="K38" s="26"/>
      <c r="L38" s="26"/>
      <c r="M38" s="26"/>
      <c r="N38" s="24"/>
    </row>
    <row r="39" spans="1:14" x14ac:dyDescent="0.25">
      <c r="A39" s="25"/>
      <c r="B39" s="25"/>
      <c r="C39" s="25"/>
      <c r="D39" s="25"/>
      <c r="E39" s="26"/>
      <c r="F39" s="26"/>
      <c r="G39" s="26"/>
      <c r="H39" s="26"/>
      <c r="I39" s="26"/>
      <c r="J39" s="26"/>
      <c r="K39" s="26"/>
      <c r="L39" s="26"/>
      <c r="M39" s="26"/>
      <c r="N39" s="24"/>
    </row>
    <row r="40" spans="1:14" x14ac:dyDescent="0.25">
      <c r="A40" s="25"/>
      <c r="B40" s="25"/>
      <c r="C40" s="25"/>
      <c r="D40" s="25"/>
      <c r="E40" s="26">
        <f>7*5-SUM(E32:I36)</f>
        <v>7</v>
      </c>
      <c r="F40" s="26"/>
      <c r="G40" s="26"/>
      <c r="H40" s="26"/>
      <c r="I40" s="26"/>
      <c r="J40" s="26"/>
      <c r="K40" s="26"/>
      <c r="L40" s="26"/>
      <c r="M40" s="26"/>
      <c r="N40" s="24"/>
    </row>
    <row r="41" spans="1:14" x14ac:dyDescent="0.25">
      <c r="A41" s="25"/>
      <c r="B41" s="25"/>
      <c r="C41" s="25"/>
      <c r="D41" s="25"/>
      <c r="E41" s="26"/>
      <c r="F41" s="26"/>
      <c r="G41" s="26"/>
      <c r="H41" s="26"/>
      <c r="I41" s="26"/>
      <c r="J41" s="26"/>
      <c r="K41" s="26"/>
      <c r="L41" s="26"/>
      <c r="M41" s="26"/>
      <c r="N41" s="24"/>
    </row>
    <row r="42" spans="1:14" x14ac:dyDescent="0.25">
      <c r="A42" s="25"/>
      <c r="B42" s="25"/>
      <c r="C42" s="25"/>
      <c r="D42" s="25"/>
      <c r="E42" s="26">
        <v>95</v>
      </c>
      <c r="F42" s="26">
        <v>71.25</v>
      </c>
      <c r="G42" s="26">
        <v>47.5</v>
      </c>
      <c r="H42" s="26">
        <v>23.75</v>
      </c>
      <c r="I42" s="26">
        <v>4.75</v>
      </c>
      <c r="J42" s="26"/>
      <c r="K42" s="26"/>
      <c r="L42" s="26"/>
      <c r="M42" s="26"/>
      <c r="N42" s="24"/>
    </row>
    <row r="43" spans="1:14" x14ac:dyDescent="0.25">
      <c r="A43" s="25"/>
      <c r="B43" s="25"/>
      <c r="C43" s="25"/>
      <c r="D43" s="25"/>
      <c r="E43" s="26"/>
      <c r="F43" s="26"/>
      <c r="G43" s="26"/>
      <c r="H43" s="26"/>
      <c r="I43" s="26"/>
      <c r="J43" s="26"/>
      <c r="K43" s="26"/>
      <c r="L43" s="26"/>
      <c r="M43" s="26"/>
      <c r="N43" s="24"/>
    </row>
    <row r="44" spans="1:14" x14ac:dyDescent="0.25">
      <c r="A44" s="25"/>
      <c r="B44" s="25"/>
      <c r="C44" s="25"/>
      <c r="D44" s="25"/>
      <c r="E44" s="26"/>
      <c r="F44" s="26"/>
      <c r="G44" s="26"/>
      <c r="H44" s="26"/>
      <c r="I44" s="26"/>
      <c r="J44" s="26"/>
      <c r="K44" s="26"/>
      <c r="L44" s="26"/>
      <c r="M44" s="26"/>
      <c r="N44" s="24"/>
    </row>
    <row r="45" spans="1:14" x14ac:dyDescent="0.25">
      <c r="A45" s="25"/>
      <c r="B45" s="25"/>
      <c r="C45" s="25"/>
      <c r="D45" s="25"/>
      <c r="E45" s="26"/>
      <c r="F45" s="26"/>
      <c r="G45" s="26"/>
      <c r="H45" s="26"/>
      <c r="I45" s="26"/>
      <c r="J45" s="26"/>
      <c r="K45" s="26"/>
      <c r="L45" s="26"/>
      <c r="M45" s="26"/>
      <c r="N45" s="24"/>
    </row>
    <row r="46" spans="1:14" x14ac:dyDescent="0.25">
      <c r="A46" s="25"/>
      <c r="G46" s="24"/>
      <c r="H46" s="24"/>
      <c r="I46" s="24"/>
      <c r="J46" s="24"/>
      <c r="K46" s="24"/>
      <c r="L46" s="24"/>
      <c r="M46" s="24"/>
      <c r="N46" s="24"/>
    </row>
    <row r="47" spans="1:14" x14ac:dyDescent="0.25">
      <c r="G47" s="24"/>
      <c r="H47" s="24"/>
      <c r="I47" s="24"/>
      <c r="J47" s="24"/>
      <c r="K47" s="24"/>
      <c r="L47" s="24"/>
      <c r="M47" s="24"/>
      <c r="N47" s="24"/>
    </row>
  </sheetData>
  <sheetProtection algorithmName="SHA-512" hashValue="zlAB+5sC/8cRjK8hzGvv84HXzbtTnMD27aiUgL1hSYb08S70Bf5NKS7QVi+Ph4xQVaRY8NTsGIf4BFkyweCERA==" saltValue="hcUpExEFmkUrEyu1gK+dIw==" spinCount="100000" sheet="1" objects="1" scenarios="1" formatRows="0"/>
  <mergeCells count="10">
    <mergeCell ref="E13:I13"/>
    <mergeCell ref="E16:I16"/>
    <mergeCell ref="E17:I17"/>
    <mergeCell ref="E19:I19"/>
    <mergeCell ref="E22:I22"/>
    <mergeCell ref="B7:B8"/>
    <mergeCell ref="C7:C8"/>
    <mergeCell ref="D7:D8"/>
    <mergeCell ref="E7:I7"/>
    <mergeCell ref="C9:D9"/>
  </mergeCells>
  <pageMargins left="0.7" right="0.7" top="0.78740157499999996" bottom="0.78740157499999996" header="0.3" footer="0.3"/>
  <pageSetup paperSize="9" scale="60" fitToHeight="0" orientation="landscape" r:id="rId1"/>
  <ignoredErrors>
    <ignoredError sqref="J15 J21 K13" formula="1"/>
    <ignoredError sqref="H32:I32 H36:I36 E32 E36 K10:K12 K20:K21 K14 K23:K26" formulaRange="1"/>
    <ignoredError sqref="K18 K15" formula="1" formulaRange="1"/>
    <ignoredError sqref="E38:I38"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047D8-6CB6-43B1-993A-AAB9071A6930}">
  <sheetPr>
    <pageSetUpPr fitToPage="1"/>
  </sheetPr>
  <dimension ref="A1:IU53"/>
  <sheetViews>
    <sheetView topLeftCell="A11" zoomScale="81" zoomScaleNormal="81" workbookViewId="0">
      <selection activeCell="P17" sqref="P17"/>
    </sheetView>
  </sheetViews>
  <sheetFormatPr baseColWidth="10" defaultRowHeight="15" x14ac:dyDescent="0.25"/>
  <cols>
    <col min="1" max="1" width="2.85546875" customWidth="1"/>
    <col min="2" max="2" width="9.7109375" customWidth="1"/>
    <col min="3" max="3" width="63.7109375" customWidth="1"/>
    <col min="4" max="4" width="44.7109375" customWidth="1"/>
    <col min="5" max="9" width="4.7109375" customWidth="1"/>
    <col min="10" max="10" width="10.28515625" customWidth="1"/>
    <col min="11" max="11" width="13.140625" customWidth="1"/>
    <col min="12" max="12" width="47.7109375" customWidth="1"/>
  </cols>
  <sheetData>
    <row r="1" spans="1:13" ht="15.95" customHeight="1" x14ac:dyDescent="0.25">
      <c r="A1" s="25"/>
      <c r="B1" s="8"/>
      <c r="C1" s="8"/>
      <c r="D1" s="8"/>
      <c r="E1" s="8"/>
      <c r="F1" s="8"/>
      <c r="G1" s="8"/>
      <c r="H1" s="8"/>
      <c r="I1" s="8"/>
      <c r="J1" s="8"/>
      <c r="K1" s="8"/>
      <c r="L1" s="8"/>
      <c r="M1" s="25"/>
    </row>
    <row r="2" spans="1:13" ht="15.95" customHeight="1" x14ac:dyDescent="0.25">
      <c r="A2" s="25"/>
      <c r="B2" s="8"/>
      <c r="C2" s="8"/>
      <c r="D2" s="8"/>
      <c r="E2" s="8"/>
      <c r="F2" s="8"/>
      <c r="G2" s="8"/>
      <c r="H2" s="9" t="s">
        <v>2</v>
      </c>
      <c r="I2" s="8"/>
      <c r="J2" s="8"/>
      <c r="K2" s="8"/>
      <c r="L2" s="8"/>
      <c r="M2" s="25"/>
    </row>
    <row r="3" spans="1:13" ht="15.95" customHeight="1" x14ac:dyDescent="0.25">
      <c r="A3" s="25"/>
      <c r="B3" s="8"/>
      <c r="C3" s="8"/>
      <c r="D3" s="8"/>
      <c r="E3" s="8"/>
      <c r="F3" s="8"/>
      <c r="G3" s="8"/>
      <c r="H3" s="10" t="s">
        <v>3</v>
      </c>
      <c r="I3" s="8"/>
      <c r="J3" s="8"/>
      <c r="K3" s="8"/>
      <c r="L3" s="8"/>
      <c r="M3" s="25"/>
    </row>
    <row r="4" spans="1:13" ht="15.95" customHeight="1" x14ac:dyDescent="0.25">
      <c r="A4" s="25"/>
      <c r="B4" s="8"/>
      <c r="C4" s="8"/>
      <c r="D4" s="8"/>
      <c r="E4" s="8"/>
      <c r="F4" s="8"/>
      <c r="G4" s="8"/>
      <c r="H4" s="10" t="str">
        <f>'KlimaGemeinde Light'!D17</f>
        <v>Kugelschreiber</v>
      </c>
      <c r="I4" s="8"/>
      <c r="J4" s="8"/>
      <c r="K4" s="8"/>
      <c r="L4" s="8"/>
      <c r="M4" s="25"/>
    </row>
    <row r="5" spans="1:13" ht="15.95" customHeight="1" x14ac:dyDescent="0.25">
      <c r="A5" s="25"/>
      <c r="B5" s="8"/>
      <c r="C5" s="6"/>
      <c r="D5" s="8"/>
      <c r="E5" s="8"/>
      <c r="F5" s="6"/>
      <c r="G5" s="6"/>
      <c r="H5" s="6"/>
      <c r="I5" s="6"/>
      <c r="J5" s="6"/>
      <c r="K5" s="6"/>
      <c r="L5" s="6"/>
      <c r="M5" s="25"/>
    </row>
    <row r="6" spans="1:13" ht="15.75" customHeight="1" thickBot="1" x14ac:dyDescent="0.3">
      <c r="A6" s="25"/>
      <c r="B6" s="25"/>
      <c r="C6" s="25"/>
      <c r="D6" s="25"/>
      <c r="E6" s="25"/>
      <c r="F6" s="25"/>
      <c r="G6" s="25"/>
      <c r="H6" s="25"/>
      <c r="I6" s="25"/>
      <c r="J6" s="25"/>
      <c r="K6" s="25"/>
      <c r="L6" s="25"/>
      <c r="M6" s="25"/>
    </row>
    <row r="7" spans="1:13" x14ac:dyDescent="0.25">
      <c r="A7" s="25"/>
      <c r="B7" s="257" t="s">
        <v>19</v>
      </c>
      <c r="C7" s="252" t="s">
        <v>20</v>
      </c>
      <c r="D7" s="257" t="s">
        <v>21</v>
      </c>
      <c r="E7" s="259" t="s">
        <v>22</v>
      </c>
      <c r="F7" s="260"/>
      <c r="G7" s="260"/>
      <c r="H7" s="260"/>
      <c r="I7" s="261"/>
      <c r="J7" s="250"/>
      <c r="K7" s="251"/>
      <c r="L7" s="252"/>
      <c r="M7" s="25"/>
    </row>
    <row r="8" spans="1:13" ht="15.75" thickBot="1" x14ac:dyDescent="0.3">
      <c r="A8" s="25"/>
      <c r="B8" s="258"/>
      <c r="C8" s="255"/>
      <c r="D8" s="258"/>
      <c r="E8" s="11">
        <v>1</v>
      </c>
      <c r="F8" s="12">
        <v>2</v>
      </c>
      <c r="G8" s="12">
        <v>3</v>
      </c>
      <c r="H8" s="13">
        <v>4</v>
      </c>
      <c r="I8" s="14">
        <v>5</v>
      </c>
      <c r="J8" s="253"/>
      <c r="K8" s="254"/>
      <c r="L8" s="255"/>
      <c r="M8" s="25"/>
    </row>
    <row r="9" spans="1:13" ht="15.75" thickBot="1" x14ac:dyDescent="0.3">
      <c r="A9" s="25"/>
      <c r="B9" s="23" t="s">
        <v>145</v>
      </c>
      <c r="C9" s="264" t="s">
        <v>146</v>
      </c>
      <c r="D9" s="264"/>
      <c r="E9" s="33"/>
      <c r="F9" s="33"/>
      <c r="G9" s="33"/>
      <c r="H9" s="33"/>
      <c r="I9" s="34"/>
      <c r="J9" s="85" t="s">
        <v>27</v>
      </c>
      <c r="K9" s="33"/>
      <c r="L9" s="86" t="s">
        <v>30</v>
      </c>
    </row>
    <row r="10" spans="1:13" ht="51" x14ac:dyDescent="0.25">
      <c r="A10" s="25"/>
      <c r="B10" s="48" t="s">
        <v>147</v>
      </c>
      <c r="C10" s="150" t="s">
        <v>263</v>
      </c>
      <c r="D10" s="146"/>
      <c r="E10" s="147"/>
      <c r="F10" s="147"/>
      <c r="G10" s="147"/>
      <c r="H10" s="147"/>
      <c r="I10" s="148">
        <v>1</v>
      </c>
      <c r="J10" s="71" t="str">
        <f>IF(AND(E10="",F10="",G10="",H10="",I10=""),"","x")</f>
        <v>x</v>
      </c>
      <c r="K10" s="128" t="str">
        <f>IF(AND(E10="",F10="",G10="",H10="",I10=""),"Eingabe fehlt",IF(COUNTA(E10:I10)&gt;1, "Nur eine Bewertung pro Unterbereich möglich", ""))</f>
        <v/>
      </c>
      <c r="L10" s="129" t="str">
        <f>IF(AND(G10="",H10="",I10=""),"","Maßnahmen zur Förderung von klimaschonenden Mobilitätsverhalten setzen.")</f>
        <v>Maßnahmen zur Förderung von klimaschonenden Mobilitätsverhalten setzen.</v>
      </c>
      <c r="M10" s="25"/>
    </row>
    <row r="11" spans="1:13" ht="36" customHeight="1" x14ac:dyDescent="0.25">
      <c r="A11" s="25"/>
      <c r="B11" s="49" t="s">
        <v>148</v>
      </c>
      <c r="C11" s="152" t="s">
        <v>264</v>
      </c>
      <c r="D11" s="95"/>
      <c r="E11" s="120"/>
      <c r="F11" s="120"/>
      <c r="G11" s="120"/>
      <c r="H11" s="120"/>
      <c r="I11" s="121">
        <v>1</v>
      </c>
      <c r="J11" s="74"/>
      <c r="K11" s="130" t="str">
        <f>IF(AND(E11="",F11="",G11="",H11="",I11=""),"Eingabe fehlt",IF(COUNTA(E11:I11)&gt;1, "Nur eine Bewertung pro Unterbereich möglich", ""))</f>
        <v/>
      </c>
      <c r="L11" s="131" t="str">
        <f>IF(AND(G11="",H11="",I11=""),"","Maßnahmen zur Parkraumbewirtschaftung ausarbeiten.")</f>
        <v>Maßnahmen zur Parkraumbewirtschaftung ausarbeiten.</v>
      </c>
      <c r="M11" s="25"/>
    </row>
    <row r="12" spans="1:13" ht="32.25" customHeight="1" x14ac:dyDescent="0.25">
      <c r="A12" s="25"/>
      <c r="B12" s="49" t="s">
        <v>149</v>
      </c>
      <c r="C12" s="151" t="s">
        <v>265</v>
      </c>
      <c r="D12" s="122"/>
      <c r="E12" s="120"/>
      <c r="F12" s="120"/>
      <c r="G12" s="120"/>
      <c r="H12" s="120"/>
      <c r="I12" s="121">
        <v>1</v>
      </c>
      <c r="J12" s="74" t="str">
        <f t="shared" ref="J12:J14" si="0">IF(AND(E12="",F12="",G12="",H12="",I12=""),"","x")</f>
        <v>x</v>
      </c>
      <c r="K12" s="130" t="str">
        <f>IF(AND(E12="",F12="",G12="",H12="",I12=""),"Eingabe fehlt",IF(COUNTA(E12:I12)&gt;1, "Nur eine Bewertung pro Unterbereich möglich", ""))</f>
        <v/>
      </c>
      <c r="L12" s="131" t="str">
        <f>IF(AND(G12="",H12="",I12=""),"","Maßnahmen für gezielte Temporeduktions- und Bewegungszonen ausarbeiten und umsetzen.")</f>
        <v>Maßnahmen für gezielte Temporeduktions- und Bewegungszonen ausarbeiten und umsetzen.</v>
      </c>
      <c r="M12" s="25"/>
    </row>
    <row r="13" spans="1:13" ht="69" customHeight="1" x14ac:dyDescent="0.25">
      <c r="A13" s="25"/>
      <c r="B13" s="49" t="s">
        <v>150</v>
      </c>
      <c r="C13" s="151" t="s">
        <v>224</v>
      </c>
      <c r="D13" s="137"/>
      <c r="E13" s="120"/>
      <c r="F13" s="120"/>
      <c r="G13" s="120"/>
      <c r="H13" s="120"/>
      <c r="I13" s="121">
        <v>1</v>
      </c>
      <c r="J13" s="74" t="str">
        <f t="shared" si="0"/>
        <v>x</v>
      </c>
      <c r="K13" s="130" t="str">
        <f>IF(AND(E13="",F13="",G13="",H13="",I13=""),"Eingabe fehlt",IF(COUNTA(E13:I13)&gt;1, "Nur eine Bewertung pro Unterbereich möglich", ""))</f>
        <v/>
      </c>
      <c r="L13" s="131" t="str">
        <f>IF(AND(G13="",H13="",I13=""),"","Maßnahmen zur Attraktivierung des öffentlichen Raumes setzen. ")</f>
        <v xml:space="preserve">Maßnahmen zur Attraktivierung des öffentlichen Raumes setzen. </v>
      </c>
      <c r="M13" s="25"/>
    </row>
    <row r="14" spans="1:13" ht="38.25" x14ac:dyDescent="0.25">
      <c r="A14" s="25"/>
      <c r="B14" s="49" t="s">
        <v>151</v>
      </c>
      <c r="C14" s="151" t="s">
        <v>152</v>
      </c>
      <c r="D14" s="122"/>
      <c r="E14" s="120"/>
      <c r="F14" s="120"/>
      <c r="G14" s="120"/>
      <c r="H14" s="120"/>
      <c r="I14" s="121">
        <v>1</v>
      </c>
      <c r="J14" s="74" t="str">
        <f t="shared" si="0"/>
        <v>x</v>
      </c>
      <c r="K14" s="130" t="str">
        <f>IF(AND(E14="",F14="",G14="",H14="",I14=""),"Eingabe fehlt",IF(COUNTA(E14:I14)&gt;1, "Nur eine Bewertung pro Unterbereich möglich", ""))</f>
        <v/>
      </c>
      <c r="L14" s="131" t="str">
        <f>IF(AND(G14="",H14="",I14=""),"","Maßnahmen zur Attraktivierung des Fußwegenetzes setzen.")</f>
        <v>Maßnahmen zur Attraktivierung des Fußwegenetzes setzen.</v>
      </c>
      <c r="M14" s="25"/>
    </row>
    <row r="15" spans="1:13" ht="24.75" customHeight="1" x14ac:dyDescent="0.25">
      <c r="A15" s="25"/>
      <c r="B15" s="50" t="s">
        <v>153</v>
      </c>
      <c r="C15" s="151" t="s">
        <v>84</v>
      </c>
      <c r="D15" s="122" t="s">
        <v>239</v>
      </c>
      <c r="E15" s="280"/>
      <c r="F15" s="281"/>
      <c r="G15" s="281"/>
      <c r="H15" s="281"/>
      <c r="I15" s="282"/>
      <c r="J15" s="74"/>
      <c r="K15" s="130" t="str">
        <f>IF(AND(E15="",D15=""),"Eingabe fehlt","")</f>
        <v/>
      </c>
      <c r="L15" s="131"/>
      <c r="M15" s="25"/>
    </row>
    <row r="16" spans="1:13" ht="25.5" x14ac:dyDescent="0.25">
      <c r="A16" s="25"/>
      <c r="B16" s="49" t="s">
        <v>154</v>
      </c>
      <c r="C16" s="151" t="s">
        <v>155</v>
      </c>
      <c r="D16" s="122"/>
      <c r="E16" s="120"/>
      <c r="F16" s="120"/>
      <c r="G16" s="120"/>
      <c r="H16" s="120"/>
      <c r="I16" s="121">
        <v>1</v>
      </c>
      <c r="J16" s="74" t="str">
        <f>IF(AND(E16="",F16="",G16="",H16="",I16=""),"","x")</f>
        <v>x</v>
      </c>
      <c r="K16" s="130" t="str">
        <f>IF(AND(E16="",F16="",G16="",H16="",I16=""),"Eingabe fehlt",IF(COUNTA(E16:I16)&gt;1, "Nur eine Bewertung pro Unterbereich möglich", ""))</f>
        <v/>
      </c>
      <c r="L16" s="131" t="str">
        <f>IF(AND(G16="",H16="",I16=""),"","Erhebung des Radwegenetzes in der Gemeinde und Abschätzung des Verbesserungspotentials.")</f>
        <v>Erhebung des Radwegenetzes in der Gemeinde und Abschätzung des Verbesserungspotentials.</v>
      </c>
      <c r="M16" s="25"/>
    </row>
    <row r="17" spans="1:255" x14ac:dyDescent="0.25">
      <c r="A17" s="25"/>
      <c r="B17" s="50" t="s">
        <v>156</v>
      </c>
      <c r="C17" s="151" t="s">
        <v>84</v>
      </c>
      <c r="D17" s="122" t="s">
        <v>239</v>
      </c>
      <c r="E17" s="283"/>
      <c r="F17" s="276"/>
      <c r="G17" s="276"/>
      <c r="H17" s="276"/>
      <c r="I17" s="277"/>
      <c r="J17" s="74"/>
      <c r="K17" s="130" t="str">
        <f>IF(AND(E17="",D17=""),"Eingabe fehlt", "")</f>
        <v/>
      </c>
      <c r="L17" s="131"/>
      <c r="M17" s="25"/>
    </row>
    <row r="18" spans="1:255" ht="39" customHeight="1" x14ac:dyDescent="0.25">
      <c r="A18" s="25"/>
      <c r="B18" s="49" t="s">
        <v>157</v>
      </c>
      <c r="C18" s="151" t="s">
        <v>158</v>
      </c>
      <c r="D18" s="122"/>
      <c r="E18" s="120"/>
      <c r="F18" s="120"/>
      <c r="G18" s="120"/>
      <c r="H18" s="120"/>
      <c r="I18" s="121">
        <v>1</v>
      </c>
      <c r="J18" s="74" t="str">
        <f>IF(AND(E18="",F18="",G18="",H18="",I18=""),"","x")</f>
        <v>x</v>
      </c>
      <c r="K18" s="130" t="str">
        <f>IF(AND(E18="",F18="",G18="",H18="",I18=""),"Eingabe fehlt",IF(COUNTA(E18:I18)&gt;1, "Nur eine Bewertung pro Unterbereich möglich", ""))</f>
        <v/>
      </c>
      <c r="L18" s="131" t="str">
        <f>IF(AND(G18="",H18="",I18=""),"","Erhebung der Fahrradabstellanlagen im Gemeindegebiet.")</f>
        <v>Erhebung der Fahrradabstellanlagen im Gemeindegebiet.</v>
      </c>
      <c r="M18" s="25"/>
    </row>
    <row r="19" spans="1:255" ht="38.25" x14ac:dyDescent="0.25">
      <c r="A19" s="25"/>
      <c r="B19" s="49" t="s">
        <v>159</v>
      </c>
      <c r="C19" s="151" t="s">
        <v>266</v>
      </c>
      <c r="D19" s="122"/>
      <c r="E19" s="120"/>
      <c r="F19" s="120"/>
      <c r="G19" s="120"/>
      <c r="H19" s="120"/>
      <c r="I19" s="121">
        <v>1</v>
      </c>
      <c r="J19" s="74" t="str">
        <f>IF(AND(E19="",F19="",G19="",H19="",I19=""),"","x")</f>
        <v>x</v>
      </c>
      <c r="K19" s="130" t="str">
        <f>IF(AND(E19="",F19="",G19="",H19="",I19=""),"Eingabe fehlt",IF(COUNTA(E19:I19)&gt;1, "Nur eine Bewertung pro Unterbereich möglich", ""))</f>
        <v/>
      </c>
      <c r="L19" s="131" t="str">
        <f>IF(AND(G19="",H19="",I19=""),"","Abschätzen mit welchem Mehraufwand (finanziell) die Anbindung ans öffentliche Verkehrsnetz verbessert werden kann.")</f>
        <v>Abschätzen mit welchem Mehraufwand (finanziell) die Anbindung ans öffentliche Verkehrsnetz verbessert werden kann.</v>
      </c>
      <c r="M19" s="25"/>
    </row>
    <row r="20" spans="1:255" x14ac:dyDescent="0.25">
      <c r="A20" s="25"/>
      <c r="B20" s="50" t="s">
        <v>160</v>
      </c>
      <c r="C20" s="151" t="s">
        <v>161</v>
      </c>
      <c r="D20" s="122" t="s">
        <v>239</v>
      </c>
      <c r="E20" s="280"/>
      <c r="F20" s="281"/>
      <c r="G20" s="281"/>
      <c r="H20" s="281"/>
      <c r="I20" s="282"/>
      <c r="J20" s="74"/>
      <c r="K20" s="130" t="str">
        <f>IF(AND(E20="",D20=""),"Eingabe fehlt", "")</f>
        <v/>
      </c>
      <c r="L20" s="131"/>
      <c r="M20" s="25"/>
    </row>
    <row r="21" spans="1:255" x14ac:dyDescent="0.25">
      <c r="A21" s="25"/>
      <c r="B21" s="50" t="s">
        <v>162</v>
      </c>
      <c r="C21" s="151" t="s">
        <v>163</v>
      </c>
      <c r="D21" s="122" t="s">
        <v>239</v>
      </c>
      <c r="E21" s="280"/>
      <c r="F21" s="281"/>
      <c r="G21" s="281"/>
      <c r="H21" s="281"/>
      <c r="I21" s="282"/>
      <c r="J21" s="74"/>
      <c r="K21" s="130" t="str">
        <f>IF(AND(E21="",D21=""),"Eingabe fehlt", "")</f>
        <v/>
      </c>
      <c r="L21" s="131"/>
      <c r="M21" s="25"/>
    </row>
    <row r="22" spans="1:255" x14ac:dyDescent="0.25">
      <c r="A22" s="25"/>
      <c r="B22" s="50" t="s">
        <v>164</v>
      </c>
      <c r="C22" s="151" t="s">
        <v>165</v>
      </c>
      <c r="D22" s="122" t="s">
        <v>239</v>
      </c>
      <c r="E22" s="280"/>
      <c r="F22" s="281"/>
      <c r="G22" s="281"/>
      <c r="H22" s="281"/>
      <c r="I22" s="282"/>
      <c r="J22" s="74"/>
      <c r="K22" s="130" t="str">
        <f>IF(AND(E22="",D22=""),"Eingabe fehlt", "")</f>
        <v/>
      </c>
      <c r="L22" s="131"/>
      <c r="M22" s="25"/>
    </row>
    <row r="23" spans="1:255" ht="29.25" customHeight="1" x14ac:dyDescent="0.25">
      <c r="A23" s="25"/>
      <c r="B23" s="49" t="s">
        <v>166</v>
      </c>
      <c r="C23" s="151" t="s">
        <v>167</v>
      </c>
      <c r="D23" s="122"/>
      <c r="E23" s="120"/>
      <c r="F23" s="120"/>
      <c r="G23" s="120"/>
      <c r="H23" s="120"/>
      <c r="I23" s="121">
        <v>1</v>
      </c>
      <c r="J23" s="74" t="str">
        <f t="shared" ref="J23:J29" si="1">IF(AND(E23="",F23="",G23="",H23="",I23=""),"","x")</f>
        <v>x</v>
      </c>
      <c r="K23" s="130" t="str">
        <f t="shared" ref="K23:K29" si="2">IF(AND(E23="",F23="",G23="",H23="",I23=""),"Eingabe fehlt",IF(COUNTA(E23:I23)&gt;1, "Nur eine Bewertung pro Unterbereich möglich", ""))</f>
        <v/>
      </c>
      <c r="L23" s="131" t="str">
        <f>IF(AND(G23="",H23="",I23=""),"","Auswirkungen einer möglichen Förderung des öffentlichen Verkehrs abschätzen. ")</f>
        <v xml:space="preserve">Auswirkungen einer möglichen Förderung des öffentlichen Verkehrs abschätzen. </v>
      </c>
      <c r="M23" s="25"/>
    </row>
    <row r="24" spans="1:255" ht="34.5" customHeight="1" x14ac:dyDescent="0.25">
      <c r="A24" s="25"/>
      <c r="B24" s="49" t="s">
        <v>168</v>
      </c>
      <c r="C24" s="151" t="s">
        <v>169</v>
      </c>
      <c r="D24" s="122"/>
      <c r="E24" s="120"/>
      <c r="F24" s="120"/>
      <c r="G24" s="120"/>
      <c r="H24" s="120"/>
      <c r="I24" s="121">
        <v>1</v>
      </c>
      <c r="J24" s="74" t="str">
        <f t="shared" si="1"/>
        <v>x</v>
      </c>
      <c r="K24" s="130" t="str">
        <f t="shared" si="2"/>
        <v/>
      </c>
      <c r="L24" s="131" t="str">
        <f>IF(AND(G24="",H24="",I24=""),"","Abschätzen des Potentials für den Ausbau des innerörtlichen öffentlichen Verkehrs.")</f>
        <v>Abschätzen des Potentials für den Ausbau des innerörtlichen öffentlichen Verkehrs.</v>
      </c>
      <c r="M24" s="25"/>
    </row>
    <row r="25" spans="1:255" ht="30.75" customHeight="1" x14ac:dyDescent="0.25">
      <c r="A25" s="25"/>
      <c r="B25" s="49" t="s">
        <v>170</v>
      </c>
      <c r="C25" s="151" t="s">
        <v>267</v>
      </c>
      <c r="D25" s="122"/>
      <c r="E25" s="120"/>
      <c r="F25" s="120"/>
      <c r="G25" s="120"/>
      <c r="H25" s="120"/>
      <c r="I25" s="121">
        <v>1</v>
      </c>
      <c r="J25" s="74" t="str">
        <f t="shared" si="1"/>
        <v>x</v>
      </c>
      <c r="K25" s="130" t="str">
        <f t="shared" si="2"/>
        <v/>
      </c>
      <c r="L25" s="131" t="str">
        <f>IF(AND(G25="",H25="",I25=""),"","Abschätzung des Potentials für kombinierte Mobilitätsangebote.")</f>
        <v>Abschätzung des Potentials für kombinierte Mobilitätsangebote.</v>
      </c>
      <c r="M25" s="25"/>
    </row>
    <row r="26" spans="1:255" ht="25.5" x14ac:dyDescent="0.25">
      <c r="A26" s="25"/>
      <c r="B26" s="49" t="s">
        <v>171</v>
      </c>
      <c r="C26" s="151" t="s">
        <v>172</v>
      </c>
      <c r="D26" s="122"/>
      <c r="E26" s="120"/>
      <c r="F26" s="120"/>
      <c r="G26" s="120"/>
      <c r="H26" s="120"/>
      <c r="I26" s="121">
        <v>1</v>
      </c>
      <c r="J26" s="74" t="str">
        <f t="shared" si="1"/>
        <v>x</v>
      </c>
      <c r="K26" s="130" t="str">
        <f t="shared" si="2"/>
        <v/>
      </c>
      <c r="L26" s="131" t="str">
        <f>IF(AND(G26="",H26="",I26=""),"","Öffentlichkeitsarbeit im Bereich Energie, Klima- und Umweltschutz stärken.")</f>
        <v>Öffentlichkeitsarbeit im Bereich Energie, Klima- und Umweltschutz stärken.</v>
      </c>
      <c r="M26" s="25"/>
    </row>
    <row r="27" spans="1:255" ht="38.25" x14ac:dyDescent="0.25">
      <c r="A27" s="25"/>
      <c r="B27" s="49" t="s">
        <v>173</v>
      </c>
      <c r="C27" s="151" t="s">
        <v>268</v>
      </c>
      <c r="D27" s="122"/>
      <c r="E27" s="120"/>
      <c r="F27" s="120"/>
      <c r="G27" s="120"/>
      <c r="H27" s="120"/>
      <c r="I27" s="121">
        <v>1</v>
      </c>
      <c r="J27" s="74" t="str">
        <f t="shared" si="1"/>
        <v>x</v>
      </c>
      <c r="K27" s="130" t="str">
        <f t="shared" si="2"/>
        <v/>
      </c>
      <c r="L27" s="131" t="str">
        <f>IF(AND(G27="",H27="",I27=""),"","Öffentlichkeitsarbeit im Bereich Energie, Klima- und Umweltschutz stärken.")</f>
        <v>Öffentlichkeitsarbeit im Bereich Energie, Klima- und Umweltschutz stärken.</v>
      </c>
      <c r="M27" s="25"/>
    </row>
    <row r="28" spans="1:255" ht="25.5" x14ac:dyDescent="0.25">
      <c r="A28" s="25"/>
      <c r="B28" s="49" t="s">
        <v>174</v>
      </c>
      <c r="C28" s="151" t="s">
        <v>175</v>
      </c>
      <c r="D28" s="122"/>
      <c r="E28" s="120"/>
      <c r="F28" s="120"/>
      <c r="G28" s="120"/>
      <c r="H28" s="120"/>
      <c r="I28" s="121">
        <v>1</v>
      </c>
      <c r="J28" s="74" t="str">
        <f t="shared" si="1"/>
        <v>x</v>
      </c>
      <c r="K28" s="130" t="str">
        <f t="shared" si="2"/>
        <v/>
      </c>
      <c r="L28" s="131" t="str">
        <f>IF(AND(G28="",H28="",I28=""),"","Öffentlichkeitsarbeit im Bereich Energie, Klima- und Umweltschutz stärken.")</f>
        <v>Öffentlichkeitsarbeit im Bereich Energie, Klima- und Umweltschutz stärken.</v>
      </c>
      <c r="M28" s="25"/>
    </row>
    <row r="29" spans="1:255" ht="26.25" thickBot="1" x14ac:dyDescent="0.3">
      <c r="A29" s="25"/>
      <c r="B29" s="51" t="s">
        <v>176</v>
      </c>
      <c r="C29" s="153" t="s">
        <v>177</v>
      </c>
      <c r="D29" s="149"/>
      <c r="E29" s="138"/>
      <c r="F29" s="138"/>
      <c r="G29" s="138"/>
      <c r="H29" s="138"/>
      <c r="I29" s="139">
        <v>1</v>
      </c>
      <c r="J29" s="77" t="str">
        <f t="shared" si="1"/>
        <v>x</v>
      </c>
      <c r="K29" s="132" t="str">
        <f t="shared" si="2"/>
        <v/>
      </c>
      <c r="L29" s="141" t="str">
        <f>IF(AND(G29="",H29="",I29=""),"","Maßnahmen setzen um eine barrierefreie Mobilität zu ermöglichen.")</f>
        <v>Maßnahmen setzen um eine barrierefreie Mobilität zu ermöglichen.</v>
      </c>
      <c r="M29" s="25"/>
    </row>
    <row r="30" spans="1:255" s="25" customFormat="1" hidden="1" x14ac:dyDescent="0.25">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row>
    <row r="31" spans="1:255" s="25" customFormat="1" x14ac:dyDescent="0.25">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row>
    <row r="32" spans="1:255" ht="15.75" x14ac:dyDescent="0.25">
      <c r="A32" s="25"/>
      <c r="B32" s="42"/>
      <c r="C32" s="43">
        <f>L39</f>
        <v>5</v>
      </c>
      <c r="D32" s="42" t="s">
        <v>223</v>
      </c>
      <c r="E32" s="42"/>
      <c r="F32" s="42"/>
      <c r="G32" s="42"/>
      <c r="H32" s="42"/>
      <c r="I32" s="42"/>
      <c r="J32" s="42"/>
      <c r="K32" s="42"/>
      <c r="L32" s="42"/>
      <c r="M32" s="25"/>
    </row>
    <row r="33" spans="1:255" x14ac:dyDescent="0.25">
      <c r="A33" s="25"/>
      <c r="B33" s="25"/>
      <c r="C33" s="25"/>
      <c r="D33" s="25"/>
      <c r="E33" s="26"/>
      <c r="F33" s="26"/>
      <c r="G33" s="26"/>
      <c r="H33" s="26"/>
      <c r="I33" s="26"/>
      <c r="J33" s="26"/>
      <c r="K33" s="26"/>
      <c r="L33" s="26"/>
      <c r="M33" s="26"/>
    </row>
    <row r="34" spans="1:255" s="25" customFormat="1" x14ac:dyDescent="0.25">
      <c r="E34" s="26">
        <f>COUNTIF(E12:E14,"")</f>
        <v>3</v>
      </c>
      <c r="F34" s="26">
        <f t="shared" ref="F34:I34" si="3">COUNTIF(F12:F14,"")</f>
        <v>3</v>
      </c>
      <c r="G34" s="26">
        <f t="shared" si="3"/>
        <v>3</v>
      </c>
      <c r="H34" s="26">
        <f t="shared" si="3"/>
        <v>3</v>
      </c>
      <c r="I34" s="26">
        <f t="shared" si="3"/>
        <v>0</v>
      </c>
      <c r="J34" s="26"/>
      <c r="K34" s="26"/>
      <c r="L34" s="26"/>
      <c r="M34" s="26"/>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row>
    <row r="35" spans="1:255" s="25" customFormat="1" x14ac:dyDescent="0.25">
      <c r="E35" s="26">
        <f>COUNTIF(E16,"")</f>
        <v>1</v>
      </c>
      <c r="F35" s="26">
        <f t="shared" ref="F35:I35" si="4">COUNTIF(F16,"")</f>
        <v>1</v>
      </c>
      <c r="G35" s="26">
        <f t="shared" si="4"/>
        <v>1</v>
      </c>
      <c r="H35" s="26">
        <f t="shared" si="4"/>
        <v>1</v>
      </c>
      <c r="I35" s="26">
        <f t="shared" si="4"/>
        <v>0</v>
      </c>
      <c r="J35" s="26"/>
      <c r="K35" s="26"/>
      <c r="L35" s="26"/>
      <c r="M35" s="26"/>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row>
    <row r="36" spans="1:255" s="25" customFormat="1" x14ac:dyDescent="0.25">
      <c r="E36" s="26">
        <f>COUNTIF(E18:E19,"")</f>
        <v>2</v>
      </c>
      <c r="F36" s="26">
        <f t="shared" ref="F36:I36" si="5">COUNTIF(F18:F19,"")</f>
        <v>2</v>
      </c>
      <c r="G36" s="26">
        <f t="shared" si="5"/>
        <v>2</v>
      </c>
      <c r="H36" s="26">
        <f t="shared" si="5"/>
        <v>2</v>
      </c>
      <c r="I36" s="26">
        <f t="shared" si="5"/>
        <v>0</v>
      </c>
      <c r="J36" s="26"/>
      <c r="K36" s="26"/>
      <c r="L36" s="26"/>
      <c r="M36" s="2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row>
    <row r="37" spans="1:255" s="25" customFormat="1" x14ac:dyDescent="0.25">
      <c r="E37" s="26">
        <f>COUNTIF(E23:E28,"")</f>
        <v>6</v>
      </c>
      <c r="F37" s="26">
        <f t="shared" ref="F37:H37" si="6">COUNTIF(F23:F28,"")</f>
        <v>6</v>
      </c>
      <c r="G37" s="26">
        <f t="shared" si="6"/>
        <v>6</v>
      </c>
      <c r="H37" s="26">
        <f t="shared" si="6"/>
        <v>6</v>
      </c>
      <c r="I37" s="26">
        <f>COUNTIF(I23:I28,"")</f>
        <v>0</v>
      </c>
      <c r="J37" s="26"/>
      <c r="K37" s="26"/>
      <c r="L37" s="26"/>
      <c r="M37" s="26"/>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row>
    <row r="38" spans="1:255" s="25" customFormat="1" x14ac:dyDescent="0.25">
      <c r="E38" s="26">
        <f>COUNTIF(E10,"")</f>
        <v>1</v>
      </c>
      <c r="F38" s="26">
        <f t="shared" ref="F38:I38" si="7">COUNTIF(F10,"")</f>
        <v>1</v>
      </c>
      <c r="G38" s="26">
        <f t="shared" si="7"/>
        <v>1</v>
      </c>
      <c r="H38" s="26">
        <f t="shared" si="7"/>
        <v>1</v>
      </c>
      <c r="I38" s="26">
        <f t="shared" si="7"/>
        <v>0</v>
      </c>
      <c r="J38" s="26"/>
      <c r="K38" s="26">
        <v>95</v>
      </c>
      <c r="L38" s="27" t="s">
        <v>204</v>
      </c>
      <c r="M38" s="26"/>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row>
    <row r="39" spans="1:255" s="25" customFormat="1" x14ac:dyDescent="0.25">
      <c r="E39" s="26">
        <f>(3-E34)+(1-E35)+(2-E36)+(6-E37)+(1-E38)</f>
        <v>0</v>
      </c>
      <c r="F39" s="26">
        <f t="shared" ref="F39:I39" si="8">(3-F34)+(1-F35)+(2-F36)+(6-F37)+(1-F38)</f>
        <v>0</v>
      </c>
      <c r="G39" s="26">
        <f t="shared" si="8"/>
        <v>0</v>
      </c>
      <c r="H39" s="26">
        <f t="shared" si="8"/>
        <v>0</v>
      </c>
      <c r="I39" s="26">
        <f t="shared" si="8"/>
        <v>13</v>
      </c>
      <c r="J39" s="26"/>
      <c r="K39" s="26">
        <f>IF(AND(K10="",K12="",K13="",K14="",K18="",K16="",K23="",K19="",K26="",K27="",K24="",K25="",K28=""),E40+F40+G40+H40+I40,"")</f>
        <v>4.75</v>
      </c>
      <c r="L39" s="28">
        <f>IF(K39="","",K39*100/K38)</f>
        <v>5</v>
      </c>
      <c r="M39" s="26"/>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row>
    <row r="40" spans="1:255" s="25" customFormat="1" x14ac:dyDescent="0.25">
      <c r="E40" s="26">
        <f>E39*E44/$E$42</f>
        <v>0</v>
      </c>
      <c r="F40" s="26">
        <f t="shared" ref="F40:H40" si="9">F39*F44/$E$42</f>
        <v>0</v>
      </c>
      <c r="G40" s="26">
        <f t="shared" si="9"/>
        <v>0</v>
      </c>
      <c r="H40" s="26">
        <f t="shared" si="9"/>
        <v>0</v>
      </c>
      <c r="I40" s="26">
        <f>I39*I44/$E$42</f>
        <v>4.75</v>
      </c>
      <c r="J40" s="26"/>
      <c r="K40" s="26"/>
      <c r="L40" s="26"/>
      <c r="M40" s="26"/>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row>
    <row r="41" spans="1:255" s="25" customFormat="1" x14ac:dyDescent="0.25">
      <c r="E41" s="26"/>
      <c r="F41" s="26"/>
      <c r="G41" s="26"/>
      <c r="H41" s="26"/>
      <c r="I41" s="26"/>
      <c r="J41" s="26"/>
      <c r="K41" s="26"/>
      <c r="L41" s="26"/>
      <c r="M41" s="26"/>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row>
    <row r="42" spans="1:255" s="25" customFormat="1" x14ac:dyDescent="0.25">
      <c r="E42" s="26">
        <f>13*5-SUM(E34:I38)</f>
        <v>13</v>
      </c>
      <c r="F42" s="26"/>
      <c r="G42" s="26"/>
      <c r="H42" s="26"/>
      <c r="I42" s="26"/>
      <c r="J42" s="26"/>
      <c r="K42" s="26"/>
      <c r="L42" s="26"/>
      <c r="M42" s="26"/>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row>
    <row r="43" spans="1:255" s="25" customFormat="1" x14ac:dyDescent="0.25">
      <c r="E43" s="26"/>
      <c r="F43" s="26"/>
      <c r="G43" s="26"/>
      <c r="H43" s="26"/>
      <c r="I43" s="26"/>
      <c r="J43" s="26"/>
      <c r="K43" s="26"/>
      <c r="L43" s="26"/>
      <c r="M43" s="26"/>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row>
    <row r="44" spans="1:255" s="25" customFormat="1" x14ac:dyDescent="0.25">
      <c r="E44" s="26">
        <v>95</v>
      </c>
      <c r="F44" s="26">
        <v>71.25</v>
      </c>
      <c r="G44" s="26">
        <v>47.5</v>
      </c>
      <c r="H44" s="26">
        <v>23.75</v>
      </c>
      <c r="I44" s="26">
        <v>4.75</v>
      </c>
      <c r="J44" s="26"/>
      <c r="K44" s="26"/>
      <c r="L44" s="26"/>
      <c r="M44" s="26"/>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row>
    <row r="45" spans="1:255" s="25" customFormat="1" x14ac:dyDescent="0.25">
      <c r="E45" s="26"/>
      <c r="F45" s="26"/>
      <c r="G45" s="26"/>
      <c r="H45" s="26"/>
      <c r="I45" s="26"/>
      <c r="J45" s="26"/>
      <c r="K45" s="26"/>
      <c r="L45" s="26"/>
      <c r="M45" s="26"/>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row>
    <row r="46" spans="1:255" s="25" customFormat="1" x14ac:dyDescent="0.25">
      <c r="E46" s="2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row>
    <row r="47" spans="1:255" s="25" customFormat="1" x14ac:dyDescent="0.25">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row>
    <row r="48" spans="1:255" s="25" customFormat="1" x14ac:dyDescent="0.25">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row>
    <row r="49" spans="6:255" s="25" customFormat="1" x14ac:dyDescent="0.25">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row>
    <row r="50" spans="6:255" s="25" customFormat="1" x14ac:dyDescent="0.25">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row>
    <row r="51" spans="6:255" s="25" customFormat="1" x14ac:dyDescent="0.25">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row>
    <row r="52" spans="6:255" s="25" customFormat="1" x14ac:dyDescent="0.25">
      <c r="F52" s="45"/>
      <c r="G52" s="45"/>
      <c r="H52" s="45"/>
      <c r="I52" s="45"/>
      <c r="J52" s="45"/>
      <c r="K52" s="45"/>
      <c r="L52" s="45"/>
      <c r="M52" s="45"/>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spans="6:255" x14ac:dyDescent="0.25">
      <c r="F53" s="46"/>
      <c r="G53" s="46"/>
      <c r="H53" s="46"/>
      <c r="I53" s="46"/>
      <c r="J53" s="46"/>
      <c r="K53" s="46"/>
      <c r="L53" s="46"/>
      <c r="M53" s="46"/>
    </row>
  </sheetData>
  <sheetProtection algorithmName="SHA-512" hashValue="nEyqS61t7lWszKeqpxOD9afkd5+6UdCAjkSxMWdHeVZz1ooKKBOe1WZDStdUCcha2s2cYMgimmiNsaGFWWV+Lg==" saltValue="l1244BjaXvEXP7tGS5TkYw==" spinCount="100000" sheet="1" objects="1" scenarios="1" formatRows="0"/>
  <mergeCells count="11">
    <mergeCell ref="E22:I22"/>
    <mergeCell ref="C9:D9"/>
    <mergeCell ref="E17:I17"/>
    <mergeCell ref="E15:I15"/>
    <mergeCell ref="E20:I20"/>
    <mergeCell ref="E21:I21"/>
    <mergeCell ref="J7:L8"/>
    <mergeCell ref="B7:B8"/>
    <mergeCell ref="C7:C8"/>
    <mergeCell ref="D7:D8"/>
    <mergeCell ref="E7:I7"/>
  </mergeCells>
  <pageMargins left="0.7" right="0.7" top="0.78740157499999996" bottom="0.78740157499999996" header="0.3" footer="0.3"/>
  <pageSetup paperSize="9" scale="60" fitToHeight="0" orientation="landscape" r:id="rId1"/>
  <ignoredErrors>
    <ignoredError sqref="J16 K15:K17 L26" formula="1"/>
    <ignoredError sqref="I34 H37:I37 K23 E36:E37 K10:K11 E34"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13B33-671B-4791-9D78-C13151D8E8C2}">
  <sheetPr>
    <pageSetUpPr fitToPage="1"/>
  </sheetPr>
  <dimension ref="A1:ALJ45"/>
  <sheetViews>
    <sheetView tabSelected="1" topLeftCell="A17" zoomScale="90" zoomScaleNormal="90" workbookViewId="0">
      <selection activeCell="Q12" sqref="Q12"/>
    </sheetView>
  </sheetViews>
  <sheetFormatPr baseColWidth="10" defaultRowHeight="15" x14ac:dyDescent="0.25"/>
  <cols>
    <col min="1" max="1" width="2.85546875" customWidth="1"/>
    <col min="2" max="2" width="9.7109375" customWidth="1"/>
    <col min="3" max="3" width="63.7109375" customWidth="1"/>
    <col min="4" max="4" width="44.7109375" customWidth="1"/>
    <col min="5" max="9" width="4.7109375" customWidth="1"/>
    <col min="10" max="10" width="10.28515625" customWidth="1"/>
    <col min="11" max="11" width="13.140625" customWidth="1"/>
    <col min="12" max="12" width="47.7109375" customWidth="1"/>
  </cols>
  <sheetData>
    <row r="1" spans="1:13" ht="15.95" customHeight="1" x14ac:dyDescent="0.25">
      <c r="A1" s="25"/>
      <c r="B1" s="8"/>
      <c r="C1" s="8"/>
      <c r="D1" s="8"/>
      <c r="E1" s="8"/>
      <c r="F1" s="8"/>
      <c r="G1" s="8"/>
      <c r="H1" s="8"/>
      <c r="I1" s="8"/>
      <c r="J1" s="8"/>
      <c r="K1" s="8"/>
      <c r="L1" s="8"/>
      <c r="M1" s="25"/>
    </row>
    <row r="2" spans="1:13" ht="15.95" customHeight="1" x14ac:dyDescent="0.25">
      <c r="A2" s="25"/>
      <c r="B2" s="8"/>
      <c r="C2" s="8"/>
      <c r="D2" s="8"/>
      <c r="E2" s="8"/>
      <c r="F2" s="8"/>
      <c r="G2" s="8"/>
      <c r="H2" s="9" t="s">
        <v>2</v>
      </c>
      <c r="I2" s="8"/>
      <c r="J2" s="8"/>
      <c r="K2" s="8"/>
      <c r="L2" s="8"/>
      <c r="M2" s="25"/>
    </row>
    <row r="3" spans="1:13" ht="15.95" customHeight="1" x14ac:dyDescent="0.25">
      <c r="A3" s="25"/>
      <c r="B3" s="8"/>
      <c r="C3" s="8"/>
      <c r="D3" s="8"/>
      <c r="E3" s="8"/>
      <c r="F3" s="8"/>
      <c r="G3" s="8"/>
      <c r="H3" s="10" t="s">
        <v>3</v>
      </c>
      <c r="I3" s="8"/>
      <c r="J3" s="8"/>
      <c r="K3" s="8"/>
      <c r="L3" s="8"/>
      <c r="M3" s="25"/>
    </row>
    <row r="4" spans="1:13" ht="15.95" customHeight="1" x14ac:dyDescent="0.25">
      <c r="A4" s="25"/>
      <c r="B4" s="8"/>
      <c r="C4" s="8"/>
      <c r="D4" s="8"/>
      <c r="E4" s="8"/>
      <c r="F4" s="8"/>
      <c r="G4" s="8"/>
      <c r="H4" s="10" t="str">
        <f>'KlimaGemeinde Light'!D17</f>
        <v>Kugelschreiber</v>
      </c>
      <c r="I4" s="8"/>
      <c r="J4" s="8"/>
      <c r="K4" s="8"/>
      <c r="L4" s="8"/>
      <c r="M4" s="25"/>
    </row>
    <row r="5" spans="1:13" ht="15.95" customHeight="1" x14ac:dyDescent="0.25">
      <c r="A5" s="25"/>
      <c r="B5" s="8"/>
      <c r="C5" s="6"/>
      <c r="D5" s="6"/>
      <c r="E5" s="8"/>
      <c r="F5" s="6"/>
      <c r="G5" s="6"/>
      <c r="H5" s="6"/>
      <c r="I5" s="6"/>
      <c r="J5" s="6"/>
      <c r="K5" s="6"/>
      <c r="L5" s="6"/>
      <c r="M5" s="25"/>
    </row>
    <row r="6" spans="1:13" ht="15.75" thickBot="1" x14ac:dyDescent="0.3">
      <c r="A6" s="25"/>
      <c r="B6" s="25"/>
      <c r="C6" s="25"/>
      <c r="D6" s="25"/>
      <c r="E6" s="25"/>
      <c r="F6" s="25"/>
      <c r="G6" s="25"/>
      <c r="H6" s="25"/>
      <c r="I6" s="25"/>
      <c r="J6" s="25"/>
      <c r="K6" s="25"/>
      <c r="L6" s="25"/>
      <c r="M6" s="25"/>
    </row>
    <row r="7" spans="1:13" ht="15.75" customHeight="1" x14ac:dyDescent="0.25">
      <c r="A7" s="25"/>
      <c r="B7" s="257" t="s">
        <v>19</v>
      </c>
      <c r="C7" s="257" t="s">
        <v>20</v>
      </c>
      <c r="D7" s="257" t="s">
        <v>21</v>
      </c>
      <c r="E7" s="259" t="s">
        <v>22</v>
      </c>
      <c r="F7" s="260"/>
      <c r="G7" s="260"/>
      <c r="H7" s="260"/>
      <c r="I7" s="261"/>
      <c r="J7" s="284"/>
      <c r="K7" s="285"/>
      <c r="L7" s="286"/>
      <c r="M7" s="25"/>
    </row>
    <row r="8" spans="1:13" ht="15.75" thickBot="1" x14ac:dyDescent="0.3">
      <c r="A8" s="25"/>
      <c r="B8" s="258"/>
      <c r="C8" s="258"/>
      <c r="D8" s="258"/>
      <c r="E8" s="11">
        <v>1</v>
      </c>
      <c r="F8" s="12">
        <v>2</v>
      </c>
      <c r="G8" s="12">
        <v>3</v>
      </c>
      <c r="H8" s="13">
        <v>4</v>
      </c>
      <c r="I8" s="14">
        <v>5</v>
      </c>
      <c r="J8" s="287"/>
      <c r="K8" s="288"/>
      <c r="L8" s="289"/>
      <c r="M8" s="25"/>
    </row>
    <row r="9" spans="1:13" ht="15.75" thickBot="1" x14ac:dyDescent="0.3">
      <c r="A9" s="25"/>
      <c r="B9" s="23" t="s">
        <v>178</v>
      </c>
      <c r="C9" s="262" t="s">
        <v>179</v>
      </c>
      <c r="D9" s="264"/>
      <c r="E9" s="33"/>
      <c r="F9" s="33"/>
      <c r="G9" s="33"/>
      <c r="H9" s="33"/>
      <c r="I9" s="34"/>
      <c r="J9" s="155" t="s">
        <v>27</v>
      </c>
      <c r="K9" s="154"/>
      <c r="L9" s="213" t="s">
        <v>30</v>
      </c>
      <c r="M9" s="25"/>
    </row>
    <row r="10" spans="1:13" ht="57.75" customHeight="1" x14ac:dyDescent="0.25">
      <c r="A10" s="25"/>
      <c r="B10" s="48" t="s">
        <v>180</v>
      </c>
      <c r="C10" s="158" t="s">
        <v>269</v>
      </c>
      <c r="D10" s="156"/>
      <c r="E10" s="147"/>
      <c r="F10" s="147"/>
      <c r="G10" s="147"/>
      <c r="H10" s="147"/>
      <c r="I10" s="148">
        <v>1</v>
      </c>
      <c r="J10" s="136" t="str">
        <f>IF(AND(E10="",F10="",G10="",H10="",I10=""),"","x")</f>
        <v>x</v>
      </c>
      <c r="K10" s="130" t="str">
        <f>IF(AND(E10="",F10="",G10="",H10="",I10=""),"Eingabe fehlt",IF(COUNTA(E10:I10)&gt;1, "Nur eine Bewertung pro Unterbereich möglich", ""))</f>
        <v/>
      </c>
      <c r="L10" s="131" t="str">
        <f>IF(AND(G10="",H10="",I10=""),"","Öffentlichkeitsarbeit im Bereich Energie, Klima- und Umweltschutz stärken.")</f>
        <v>Öffentlichkeitsarbeit im Bereich Energie, Klima- und Umweltschutz stärken.</v>
      </c>
      <c r="M10" s="25"/>
    </row>
    <row r="11" spans="1:13" ht="51" x14ac:dyDescent="0.25">
      <c r="A11" s="25"/>
      <c r="B11" s="49" t="s">
        <v>181</v>
      </c>
      <c r="C11" s="151" t="s">
        <v>270</v>
      </c>
      <c r="D11" s="94"/>
      <c r="E11" s="120"/>
      <c r="F11" s="120"/>
      <c r="G11" s="120"/>
      <c r="H11" s="120"/>
      <c r="I11" s="121">
        <v>1</v>
      </c>
      <c r="J11" s="136" t="str">
        <f>IF(AND(E11="",F11="",G11="",H11="",I11=""),"","x")</f>
        <v>x</v>
      </c>
      <c r="K11" s="130" t="str">
        <f>IF(AND(E11="",F11="",G11="",H11="",I11=""),"Eingabe fehlt",IF(COUNTA(E11:I11)&gt;1, "Nur eine Bewertung pro Unterbereich möglich", ""))</f>
        <v/>
      </c>
      <c r="L11" s="131" t="str">
        <f>IF(AND(G11="",H11="",I11=""),"","Öffentlichkeitsarbeit im Bereich Energie, Klima- und Umweltschutz stärken.")</f>
        <v>Öffentlichkeitsarbeit im Bereich Energie, Klima- und Umweltschutz stärken.</v>
      </c>
      <c r="M11" s="25"/>
    </row>
    <row r="12" spans="1:13" ht="25.5" x14ac:dyDescent="0.25">
      <c r="A12" s="25"/>
      <c r="B12" s="49" t="s">
        <v>182</v>
      </c>
      <c r="C12" s="151" t="s">
        <v>183</v>
      </c>
      <c r="D12" s="122"/>
      <c r="E12" s="120"/>
      <c r="F12" s="120"/>
      <c r="G12" s="120"/>
      <c r="H12" s="120"/>
      <c r="I12" s="121">
        <v>1</v>
      </c>
      <c r="J12" s="136" t="str">
        <f>IF(AND(E12="",F12="",G12="",H12="",I12=""),"","x")</f>
        <v>x</v>
      </c>
      <c r="K12" s="130" t="str">
        <f>IF(AND(E12="",F12="",G12="",H12="",I12=""),"Eingabe fehlt",IF(COUNTA(E12:I12)&gt;1, "Nur eine Bewertung pro Unterbereich möglich", ""))</f>
        <v/>
      </c>
      <c r="L12" s="131" t="str">
        <f>IF(AND(G12="",H12="",I12=""),"","Öffentlichkeitsarbeit im Bereich Energie, Klima- und Umweltschutz stärken.")</f>
        <v>Öffentlichkeitsarbeit im Bereich Energie, Klima- und Umweltschutz stärken.</v>
      </c>
      <c r="M12" s="25"/>
    </row>
    <row r="13" spans="1:13" ht="25.5" x14ac:dyDescent="0.25">
      <c r="A13" s="25"/>
      <c r="B13" s="50" t="s">
        <v>184</v>
      </c>
      <c r="C13" s="151" t="s">
        <v>185</v>
      </c>
      <c r="D13" s="122"/>
      <c r="E13" s="283">
        <v>1</v>
      </c>
      <c r="F13" s="276"/>
      <c r="G13" s="276"/>
      <c r="H13" s="276"/>
      <c r="I13" s="277"/>
      <c r="J13" s="136"/>
      <c r="K13" s="130" t="str">
        <f>IF(AND(E13="",D13=""),"Beschreibung fehlt","")</f>
        <v/>
      </c>
      <c r="L13" s="131"/>
      <c r="M13" s="25"/>
    </row>
    <row r="14" spans="1:13" ht="38.25" x14ac:dyDescent="0.25">
      <c r="A14" s="25"/>
      <c r="B14" s="49" t="s">
        <v>186</v>
      </c>
      <c r="C14" s="151" t="s">
        <v>271</v>
      </c>
      <c r="D14" s="122"/>
      <c r="E14" s="120"/>
      <c r="F14" s="120"/>
      <c r="G14" s="120"/>
      <c r="H14" s="120"/>
      <c r="I14" s="121">
        <v>1</v>
      </c>
      <c r="J14" s="136" t="str">
        <f>IF(AND(E14="",F14="",G14="",H14="",I14=""),"","x")</f>
        <v>x</v>
      </c>
      <c r="K14" s="130" t="str">
        <f>IF(AND(E14="",F14="",G14="",H14="",I14=""),"Eingabe fehlt",IF(COUNTA(E14:I14)&gt;1, "Nur eine Bewertung pro Unterbereich möglich", ""))</f>
        <v/>
      </c>
      <c r="L14" s="131" t="str">
        <f>IF(AND(G14="",H14="",I14=""),"","Initiierung von energie- und umweltrelevanten Kooperationsprojekte anstreben.")</f>
        <v>Initiierung von energie- und umweltrelevanten Kooperationsprojekte anstreben.</v>
      </c>
      <c r="M14" s="25"/>
    </row>
    <row r="15" spans="1:13" ht="51" x14ac:dyDescent="0.25">
      <c r="A15" s="25"/>
      <c r="B15" s="49" t="s">
        <v>187</v>
      </c>
      <c r="C15" s="151" t="s">
        <v>272</v>
      </c>
      <c r="D15" s="122"/>
      <c r="E15" s="120"/>
      <c r="F15" s="120"/>
      <c r="G15" s="120"/>
      <c r="H15" s="120"/>
      <c r="I15" s="121">
        <v>1</v>
      </c>
      <c r="J15" s="136" t="str">
        <f>IF(AND(E15="",F15="",G15="",H15="",I15=""),"","x")</f>
        <v>x</v>
      </c>
      <c r="K15" s="130" t="str">
        <f>IF(AND(E15="",F15="",G15="",H15="",I15=""),"Eingabe fehlt",IF(COUNTA(E15:I15)&gt;1, "Nur eine Bewertung pro Unterbereich möglich", ""))</f>
        <v/>
      </c>
      <c r="L15" s="131" t="str">
        <f>IF(AND(G15="",H15="",I15=""),"","Initiierung von energie- und umweltrelevanten Kooperationsprojekte anstreben.")</f>
        <v>Initiierung von energie- und umweltrelevanten Kooperationsprojekte anstreben.</v>
      </c>
      <c r="M15" s="25"/>
    </row>
    <row r="16" spans="1:13" ht="51" x14ac:dyDescent="0.25">
      <c r="A16" s="25"/>
      <c r="B16" s="49" t="s">
        <v>188</v>
      </c>
      <c r="C16" s="151" t="s">
        <v>273</v>
      </c>
      <c r="D16" s="122"/>
      <c r="E16" s="120"/>
      <c r="F16" s="120"/>
      <c r="G16" s="120"/>
      <c r="H16" s="120"/>
      <c r="I16" s="121">
        <v>1</v>
      </c>
      <c r="J16" s="136" t="str">
        <f>IF(AND(E16="",F16="",G16="",H16="",I16=""),"","x")</f>
        <v>x</v>
      </c>
      <c r="K16" s="130" t="str">
        <f>IF(AND(E16="",F16="",G16="",H16="",I16=""),"Eingabe fehlt",IF(COUNTA(E16:I16)&gt;1, "Nur eine Bewertung pro Unterbereich möglich", ""))</f>
        <v/>
      </c>
      <c r="L16" s="131" t="str">
        <f>IF(AND(G16="",H16="",I16=""),"","Initiierung von Energie, Klima- und Umweltschutzprojekten mit den Kindergärten und Schulen der Gemeinde (z.B. Tag der Sonne, Energieexkursionen).")</f>
        <v>Initiierung von Energie, Klima- und Umweltschutzprojekten mit den Kindergärten und Schulen der Gemeinde (z.B. Tag der Sonne, Energieexkursionen).</v>
      </c>
      <c r="M16" s="25"/>
    </row>
    <row r="17" spans="1:998" ht="25.5" x14ac:dyDescent="0.25">
      <c r="A17" s="25"/>
      <c r="B17" s="49" t="s">
        <v>189</v>
      </c>
      <c r="C17" s="151" t="s">
        <v>190</v>
      </c>
      <c r="D17" s="122"/>
      <c r="E17" s="120"/>
      <c r="F17" s="120"/>
      <c r="G17" s="120"/>
      <c r="H17" s="120"/>
      <c r="I17" s="121">
        <v>1</v>
      </c>
      <c r="J17" s="136" t="str">
        <f>IF(AND(E17="",F17="",G17="",H17="",I17=""),"","x")</f>
        <v>x</v>
      </c>
      <c r="K17" s="130" t="str">
        <f>IF(AND(E17="",F17="",G17="",H17="",I17=""),"Eingabe fehlt",IF(COUNTA(E17:I17)&gt;1, "Nur eine Bewertung pro Unterbereich möglich", ""))</f>
        <v/>
      </c>
      <c r="L17" s="131" t="str">
        <f>IF(AND(G17="",H17="",I17=""),"","Angebot einer kommunalen bzw. regionalen Energieberaterstelle einholen.")</f>
        <v>Angebot einer kommunalen bzw. regionalen Energieberaterstelle einholen.</v>
      </c>
      <c r="M17" s="25"/>
    </row>
    <row r="18" spans="1:998" x14ac:dyDescent="0.25">
      <c r="A18" s="25"/>
      <c r="B18" s="50" t="s">
        <v>191</v>
      </c>
      <c r="C18" s="151" t="s">
        <v>192</v>
      </c>
      <c r="D18" s="122"/>
      <c r="E18" s="283">
        <v>1</v>
      </c>
      <c r="F18" s="276"/>
      <c r="G18" s="276"/>
      <c r="H18" s="276"/>
      <c r="I18" s="277"/>
      <c r="J18" s="136"/>
      <c r="K18" s="130" t="str">
        <f>IF(AND(E18="",D18=""),"Eingabe fehlt", "")</f>
        <v/>
      </c>
      <c r="L18" s="131"/>
      <c r="M18" s="25"/>
    </row>
    <row r="19" spans="1:998" ht="25.5" x14ac:dyDescent="0.25">
      <c r="A19" s="25"/>
      <c r="B19" s="49" t="s">
        <v>193</v>
      </c>
      <c r="C19" s="151" t="s">
        <v>194</v>
      </c>
      <c r="D19" s="122"/>
      <c r="E19" s="120"/>
      <c r="F19" s="120"/>
      <c r="G19" s="120"/>
      <c r="H19" s="120"/>
      <c r="I19" s="121">
        <v>1</v>
      </c>
      <c r="J19" s="136" t="str">
        <f>IF(AND(E19="",F19="",G19="",H19="",I19=""),"","x")</f>
        <v>x</v>
      </c>
      <c r="K19" s="130" t="str">
        <f>IF(AND(E19="",F19="",G19="",H19="",I19=""),"Eingabe fehlt",IF(COUNTA(E19:I19)&gt;1, "Nur eine Bewertung pro Unterbereich möglich", ""))</f>
        <v/>
      </c>
      <c r="L19" s="131" t="str">
        <f>IF(AND(G19="",H19="",I19=""),"","Erstellung einer gemeindespezifischen Förderrichtlinie durchführen.")</f>
        <v>Erstellung einer gemeindespezifischen Förderrichtlinie durchführen.</v>
      </c>
      <c r="M19" s="25"/>
    </row>
    <row r="20" spans="1:998" ht="102" x14ac:dyDescent="0.25">
      <c r="A20" s="25"/>
      <c r="B20" s="50" t="s">
        <v>195</v>
      </c>
      <c r="C20" s="151" t="s">
        <v>196</v>
      </c>
      <c r="D20" s="122"/>
      <c r="E20" s="283"/>
      <c r="F20" s="276"/>
      <c r="G20" s="276"/>
      <c r="H20" s="276"/>
      <c r="I20" s="277"/>
      <c r="J20" s="136"/>
      <c r="K20" s="130" t="str">
        <f>IF(AND(E20="",D20=""),"Eingabe fehlt", "")</f>
        <v>Eingabe fehlt</v>
      </c>
      <c r="L20" s="131"/>
      <c r="M20" s="25"/>
    </row>
    <row r="21" spans="1:998" ht="15.75" thickBot="1" x14ac:dyDescent="0.3">
      <c r="A21" s="25"/>
      <c r="B21" s="157" t="s">
        <v>197</v>
      </c>
      <c r="C21" s="153" t="s">
        <v>274</v>
      </c>
      <c r="D21" s="149"/>
      <c r="E21" s="290"/>
      <c r="F21" s="278"/>
      <c r="G21" s="278"/>
      <c r="H21" s="278"/>
      <c r="I21" s="279"/>
      <c r="J21" s="140"/>
      <c r="K21" s="132" t="str">
        <f>IF(AND(E21="",D21=""),"Angabe fehlt", "")</f>
        <v>Angabe fehlt</v>
      </c>
      <c r="L21" s="141"/>
      <c r="M21" s="25"/>
    </row>
    <row r="22" spans="1:998" s="25" customFormat="1" x14ac:dyDescent="0.25">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row>
    <row r="23" spans="1:998" ht="15.75" x14ac:dyDescent="0.25">
      <c r="A23" s="25"/>
      <c r="B23" s="47"/>
      <c r="C23" s="43">
        <f>L31</f>
        <v>5</v>
      </c>
      <c r="D23" s="42" t="s">
        <v>223</v>
      </c>
      <c r="E23" s="47"/>
      <c r="F23" s="47"/>
      <c r="G23" s="47"/>
      <c r="H23" s="47"/>
      <c r="I23" s="47"/>
      <c r="J23" s="47"/>
      <c r="K23" s="47"/>
      <c r="L23" s="47"/>
      <c r="M23" s="25"/>
    </row>
    <row r="24" spans="1:998" x14ac:dyDescent="0.25">
      <c r="A24" s="25"/>
      <c r="B24" s="25"/>
      <c r="C24" s="25"/>
      <c r="D24" s="25"/>
      <c r="E24" s="25"/>
      <c r="F24" s="25"/>
      <c r="G24" s="25"/>
      <c r="H24" s="25"/>
      <c r="I24" s="25"/>
      <c r="J24" s="25"/>
      <c r="K24" s="25"/>
      <c r="L24" s="25"/>
      <c r="M24" s="25"/>
    </row>
    <row r="25" spans="1:998" s="25" customFormat="1" x14ac:dyDescent="0.25">
      <c r="E25" s="26"/>
      <c r="F25" s="26"/>
      <c r="G25" s="26"/>
      <c r="H25" s="26"/>
      <c r="I25" s="26"/>
      <c r="J25" s="26"/>
      <c r="K25" s="26"/>
      <c r="L25" s="26"/>
      <c r="M25" s="26"/>
      <c r="N25" s="24"/>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row>
    <row r="26" spans="1:998" s="25" customFormat="1" x14ac:dyDescent="0.25">
      <c r="E26" s="26">
        <f>COUNTIF(E10:E12,"")</f>
        <v>3</v>
      </c>
      <c r="F26" s="26">
        <f t="shared" ref="F26:I26" si="0">COUNTIF(F10:F12,"")</f>
        <v>3</v>
      </c>
      <c r="G26" s="26">
        <f t="shared" si="0"/>
        <v>3</v>
      </c>
      <c r="H26" s="26">
        <f t="shared" si="0"/>
        <v>3</v>
      </c>
      <c r="I26" s="26">
        <f t="shared" si="0"/>
        <v>0</v>
      </c>
      <c r="J26" s="26"/>
      <c r="K26" s="26"/>
      <c r="L26" s="26"/>
      <c r="M26" s="26"/>
      <c r="N26" s="24"/>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row>
    <row r="27" spans="1:998" s="25" customFormat="1" x14ac:dyDescent="0.25">
      <c r="E27" s="26">
        <f>COUNTIF(E14:E17,"")</f>
        <v>4</v>
      </c>
      <c r="F27" s="26">
        <f t="shared" ref="F27:I27" si="1">COUNTIF(F14:F17,"")</f>
        <v>4</v>
      </c>
      <c r="G27" s="26">
        <f t="shared" si="1"/>
        <v>4</v>
      </c>
      <c r="H27" s="26">
        <f t="shared" si="1"/>
        <v>4</v>
      </c>
      <c r="I27" s="26">
        <f t="shared" si="1"/>
        <v>0</v>
      </c>
      <c r="J27" s="26"/>
      <c r="K27" s="26"/>
      <c r="L27" s="26"/>
      <c r="M27" s="26"/>
      <c r="N27" s="24"/>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row>
    <row r="28" spans="1:998" s="25" customFormat="1" x14ac:dyDescent="0.25">
      <c r="E28" s="26">
        <f>COUNTIF(E19,"")</f>
        <v>1</v>
      </c>
      <c r="F28" s="26">
        <f t="shared" ref="F28:I28" si="2">COUNTIF(F19,"")</f>
        <v>1</v>
      </c>
      <c r="G28" s="26">
        <f t="shared" si="2"/>
        <v>1</v>
      </c>
      <c r="H28" s="26">
        <f t="shared" si="2"/>
        <v>1</v>
      </c>
      <c r="I28" s="26">
        <f t="shared" si="2"/>
        <v>0</v>
      </c>
      <c r="J28" s="26"/>
      <c r="K28" s="26"/>
      <c r="L28" s="26"/>
      <c r="M28" s="26"/>
      <c r="N28" s="24"/>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row>
    <row r="29" spans="1:998" s="25" customFormat="1" x14ac:dyDescent="0.25">
      <c r="E29" s="26"/>
      <c r="F29" s="26"/>
      <c r="G29" s="26"/>
      <c r="H29" s="26"/>
      <c r="I29" s="26"/>
      <c r="J29" s="26"/>
      <c r="K29" s="26"/>
      <c r="L29" s="26"/>
      <c r="M29" s="26"/>
      <c r="N29" s="24"/>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row>
    <row r="30" spans="1:998" s="25" customFormat="1" x14ac:dyDescent="0.25">
      <c r="E30" s="26">
        <f>(3-E26)+(4-E27)+(1-E28)</f>
        <v>0</v>
      </c>
      <c r="F30" s="26">
        <f t="shared" ref="F30:H30" si="3">(3-F26)+(4-F27)+(1-F28)</f>
        <v>0</v>
      </c>
      <c r="G30" s="26">
        <f t="shared" si="3"/>
        <v>0</v>
      </c>
      <c r="H30" s="26">
        <f t="shared" si="3"/>
        <v>0</v>
      </c>
      <c r="I30" s="26">
        <f>(3-I26)+(4-I27)+(1-I28)</f>
        <v>8</v>
      </c>
      <c r="J30" s="26"/>
      <c r="K30" s="26">
        <v>95</v>
      </c>
      <c r="L30" s="27" t="s">
        <v>204</v>
      </c>
      <c r="M30" s="26"/>
      <c r="N30" s="24"/>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row>
    <row r="31" spans="1:998" s="25" customFormat="1" x14ac:dyDescent="0.25">
      <c r="E31" s="26">
        <f t="shared" ref="E31:H31" si="4">E30*E35/$E$33</f>
        <v>0</v>
      </c>
      <c r="F31" s="26">
        <f t="shared" si="4"/>
        <v>0</v>
      </c>
      <c r="G31" s="26">
        <f t="shared" si="4"/>
        <v>0</v>
      </c>
      <c r="H31" s="26">
        <f t="shared" si="4"/>
        <v>0</v>
      </c>
      <c r="I31" s="26">
        <f>I30*I35/$E$33</f>
        <v>4.75</v>
      </c>
      <c r="J31" s="26"/>
      <c r="K31" s="26">
        <f>IF(AND(K11="",K12="",K10="",K14="",K15="",K17="",K16="",K19=""),E31+F31+G31+H31+I31,"")</f>
        <v>4.75</v>
      </c>
      <c r="L31" s="28">
        <f>IF(K31="","",K31*100/K30)</f>
        <v>5</v>
      </c>
      <c r="M31" s="26"/>
      <c r="N31" s="24"/>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row>
    <row r="32" spans="1:998" s="25" customFormat="1" x14ac:dyDescent="0.25">
      <c r="E32" s="26"/>
      <c r="F32" s="26"/>
      <c r="G32" s="26"/>
      <c r="H32" s="26"/>
      <c r="I32" s="26"/>
      <c r="J32" s="26"/>
      <c r="K32" s="26"/>
      <c r="L32" s="26"/>
      <c r="M32" s="26"/>
      <c r="N32" s="24"/>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row>
    <row r="33" spans="5:998" s="25" customFormat="1" x14ac:dyDescent="0.25">
      <c r="E33" s="26">
        <f>8*5-SUM(E26:I29)</f>
        <v>8</v>
      </c>
      <c r="F33" s="26"/>
      <c r="G33" s="26"/>
      <c r="H33" s="26"/>
      <c r="I33" s="26"/>
      <c r="J33" s="26"/>
      <c r="K33" s="26"/>
      <c r="L33" s="26"/>
      <c r="M33" s="26"/>
      <c r="N33" s="24"/>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row>
    <row r="34" spans="5:998" s="25" customFormat="1" x14ac:dyDescent="0.25">
      <c r="E34" s="26"/>
      <c r="F34" s="26"/>
      <c r="G34" s="26"/>
      <c r="H34" s="26"/>
      <c r="I34" s="26"/>
      <c r="J34" s="26"/>
      <c r="K34" s="26"/>
      <c r="L34" s="26"/>
      <c r="M34" s="26"/>
      <c r="N34" s="2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row>
    <row r="35" spans="5:998" s="25" customFormat="1" x14ac:dyDescent="0.25">
      <c r="E35" s="26">
        <v>95</v>
      </c>
      <c r="F35" s="26">
        <v>71.25</v>
      </c>
      <c r="G35" s="26">
        <v>47.5</v>
      </c>
      <c r="H35" s="26">
        <v>23.75</v>
      </c>
      <c r="I35" s="26">
        <v>4.75</v>
      </c>
      <c r="J35" s="26"/>
      <c r="K35" s="26"/>
      <c r="L35" s="26"/>
      <c r="M35" s="26"/>
      <c r="N35" s="24"/>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row>
    <row r="36" spans="5:998" s="25" customFormat="1" x14ac:dyDescent="0.25">
      <c r="E36" s="26"/>
      <c r="F36" s="26"/>
      <c r="G36" s="26"/>
      <c r="H36" s="26"/>
      <c r="I36" s="26"/>
      <c r="J36" s="26"/>
      <c r="K36" s="26"/>
      <c r="L36" s="26"/>
      <c r="M36" s="26"/>
      <c r="N36" s="24"/>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row>
    <row r="37" spans="5:998" s="25" customFormat="1" x14ac:dyDescent="0.25">
      <c r="E37" s="26"/>
      <c r="F37" s="26"/>
      <c r="G37" s="26"/>
      <c r="H37" s="26"/>
      <c r="I37" s="26"/>
      <c r="J37" s="26"/>
      <c r="K37" s="26"/>
      <c r="L37" s="26"/>
      <c r="M37" s="26"/>
      <c r="N37" s="24"/>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row>
    <row r="38" spans="5:998" s="25" customFormat="1" x14ac:dyDescent="0.25">
      <c r="E38" s="26"/>
      <c r="F38" s="26"/>
      <c r="G38" s="26"/>
      <c r="H38" s="26"/>
      <c r="I38" s="26"/>
      <c r="J38" s="26"/>
      <c r="K38" s="26"/>
      <c r="L38" s="26"/>
      <c r="M38" s="26"/>
      <c r="N38" s="24"/>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row>
    <row r="39" spans="5:998" s="25" customFormat="1" x14ac:dyDescent="0.25">
      <c r="E39" s="26"/>
      <c r="F39" s="26"/>
      <c r="G39" s="26"/>
      <c r="H39" s="26"/>
      <c r="I39" s="26"/>
      <c r="J39" s="26"/>
      <c r="K39" s="26"/>
      <c r="L39" s="26"/>
      <c r="M39" s="26"/>
      <c r="N39" s="24"/>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row>
    <row r="40" spans="5:998" s="25" customFormat="1" x14ac:dyDescent="0.25">
      <c r="E40" s="26"/>
      <c r="F40" s="26"/>
      <c r="G40" s="26"/>
      <c r="H40" s="26"/>
      <c r="I40" s="26"/>
      <c r="J40" s="26"/>
      <c r="K40" s="26"/>
      <c r="L40" s="26"/>
      <c r="M40" s="26"/>
      <c r="N40" s="24"/>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row>
    <row r="41" spans="5:998" s="25" customFormat="1" x14ac:dyDescent="0.25">
      <c r="E41" s="26"/>
      <c r="F41" s="26"/>
      <c r="G41" s="26"/>
      <c r="H41" s="26"/>
      <c r="I41" s="26"/>
      <c r="J41" s="26"/>
      <c r="K41" s="26"/>
      <c r="L41" s="26"/>
      <c r="M41" s="26"/>
      <c r="N41" s="24"/>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row>
    <row r="42" spans="5:998" x14ac:dyDescent="0.25">
      <c r="E42" s="24"/>
      <c r="F42" s="24"/>
      <c r="G42" s="24"/>
      <c r="H42" s="24"/>
      <c r="I42" s="24"/>
      <c r="J42" s="24"/>
      <c r="K42" s="24"/>
      <c r="L42" s="24"/>
      <c r="M42" s="24"/>
      <c r="N42" s="24"/>
    </row>
    <row r="43" spans="5:998" x14ac:dyDescent="0.25">
      <c r="E43" s="46"/>
      <c r="F43" s="46"/>
      <c r="G43" s="46"/>
      <c r="H43" s="46"/>
      <c r="I43" s="46"/>
      <c r="J43" s="46"/>
      <c r="K43" s="46"/>
      <c r="L43" s="46"/>
      <c r="M43" s="46"/>
    </row>
    <row r="44" spans="5:998" x14ac:dyDescent="0.25">
      <c r="E44" s="46"/>
      <c r="F44" s="46"/>
      <c r="G44" s="46"/>
      <c r="H44" s="46"/>
      <c r="I44" s="46"/>
      <c r="J44" s="46"/>
      <c r="K44" s="46"/>
      <c r="L44" s="46"/>
      <c r="M44" s="46"/>
    </row>
    <row r="45" spans="5:998" x14ac:dyDescent="0.25">
      <c r="E45" s="46"/>
      <c r="F45" s="46"/>
      <c r="G45" s="46"/>
      <c r="H45" s="46"/>
      <c r="I45" s="46"/>
      <c r="J45" s="46"/>
      <c r="K45" s="46"/>
      <c r="L45" s="46"/>
      <c r="M45" s="46"/>
    </row>
  </sheetData>
  <sheetProtection algorithmName="SHA-512" hashValue="6uyBhRxqDyLJBCtZIzg6Y7ax2UcJCZn6oAITxSZuaq5mx8Q4NkcbBlOfLps8bexI3gCbMdKkVHvnyvYKVOfyDg==" saltValue="od2txq84QzspcfnPrdWnPw==" spinCount="100000" sheet="1" objects="1" scenarios="1" formatRows="0"/>
  <mergeCells count="10">
    <mergeCell ref="B7:B8"/>
    <mergeCell ref="C7:C8"/>
    <mergeCell ref="D7:D8"/>
    <mergeCell ref="E7:I7"/>
    <mergeCell ref="C9:D9"/>
    <mergeCell ref="J7:L8"/>
    <mergeCell ref="E13:I13"/>
    <mergeCell ref="E18:I18"/>
    <mergeCell ref="E20:I20"/>
    <mergeCell ref="E21:I21"/>
  </mergeCells>
  <pageMargins left="0.7" right="0.7" top="0.78740157499999996" bottom="0.78740157499999996" header="0.3" footer="0.3"/>
  <pageSetup paperSize="9" scale="60" orientation="landscape" r:id="rId1"/>
  <ignoredErrors>
    <ignoredError sqref="J19 K18 K13" formula="1"/>
    <ignoredError sqref="K10:K12 K14:K17 E27" formulaRange="1"/>
    <ignoredError sqref="K19" formula="1" formulaRange="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Übersicht</vt:lpstr>
      <vt:lpstr>Gemeinde A++</vt:lpstr>
      <vt:lpstr>KlimaGemeinde Light</vt:lpstr>
      <vt:lpstr>Bereich A</vt:lpstr>
      <vt:lpstr>Bereich B </vt:lpstr>
      <vt:lpstr>Bereich C </vt:lpstr>
      <vt:lpstr>Bereich D</vt:lpstr>
      <vt:lpstr>Bereich E </vt:lpstr>
      <vt:lpstr>Bereich F </vt:lpstr>
      <vt:lpstr>Verbrauchserfassung</vt:lpstr>
      <vt:lpstr>Diagramm</vt:lpstr>
      <vt:lpstr>'Bereich A'!Druckbereich</vt:lpstr>
      <vt:lpstr>'Bereich B '!Druckbereich</vt:lpstr>
      <vt:lpstr>'Bereich C '!Druckbereich</vt:lpstr>
      <vt:lpstr>'Bereich D'!Druckbereich</vt:lpstr>
      <vt:lpstr>'Bereich E '!Druckbereich</vt:lpstr>
      <vt:lpstr>'Bereich F '!Druckbereich</vt:lpstr>
      <vt:lpstr>Diagramm!Druckbereich</vt:lpstr>
      <vt:lpstr>'Gemeinde A++'!Druckbereich</vt:lpstr>
      <vt:lpstr>'KlimaGemeinde Light'!Druckbereich</vt:lpstr>
      <vt:lpstr>Übersicht!Druckbereich</vt:lpstr>
      <vt:lpstr>Verbrauchserfassung!Druckbereich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Costantini Sara</dc:creator>
  <cp:lastModifiedBy>Bancher Mariadonata</cp:lastModifiedBy>
  <cp:lastPrinted>2025-02-18T14:51:22Z</cp:lastPrinted>
  <dcterms:created xsi:type="dcterms:W3CDTF">2025-01-15T08:20:16Z</dcterms:created>
  <dcterms:modified xsi:type="dcterms:W3CDTF">2025-04-29T06:22:44Z</dcterms:modified>
</cp:coreProperties>
</file>